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1Orkfx9IvwA4MhZEIzqF+S68lp4m6rqxU0aQV2DI1qjFMug1BByvkfmun9+l0c1nlY0PyriR3i0nJyCsgMIRQ==" workbookSaltValue="oyLlvzrKrJs3KvUutV7sr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Y12" i="11"/>
  <c r="T10" i="21"/>
  <c r="ES19" i="8"/>
  <c r="G18" i="12"/>
  <c r="C18" i="7"/>
  <c r="R8" i="9"/>
  <c r="X12" i="21" s="1"/>
  <c r="BM19" i="8"/>
  <c r="AL13" i="16"/>
  <c r="S13" i="16"/>
  <c r="P13" i="16"/>
  <c r="AM13" i="20"/>
  <c r="H13" i="12"/>
  <c r="BI10" i="11"/>
  <c r="BJ11" i="11"/>
  <c r="BG15" i="11"/>
  <c r="T15" i="16"/>
  <c r="BV12" i="16"/>
  <c r="U10" i="17"/>
  <c r="S12" i="14"/>
  <c r="V12" i="14" s="1"/>
  <c r="BG12" i="11"/>
  <c r="BF12" i="11"/>
  <c r="BL10" i="11"/>
  <c r="BH10" i="16"/>
  <c r="BM17" i="11"/>
  <c r="S17" i="17"/>
  <c r="BH12" i="16"/>
  <c r="BD9" i="8"/>
  <c r="BA13" i="8"/>
  <c r="L10" i="2"/>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I19" i="8"/>
  <c r="AV18" i="21"/>
  <c r="Z13" i="17"/>
  <c r="F13" i="7"/>
  <c r="AB13" i="21"/>
  <c r="AB21" i="21" s="1"/>
  <c r="BG12" i="8"/>
  <c r="AC10" i="11"/>
  <c r="C11" i="6"/>
  <c r="M18" i="2"/>
  <c r="AN12" i="11"/>
  <c r="D10" i="6"/>
  <c r="E9" i="6"/>
  <c r="AO17" i="11"/>
  <c r="B17" i="6"/>
  <c r="AO15" i="11"/>
  <c r="AL16" i="11"/>
  <c r="J10" i="2"/>
  <c r="K9" i="7"/>
  <c r="V12" i="21"/>
  <c r="BL12" i="11"/>
  <c r="V11" i="16"/>
  <c r="BJ17" i="11"/>
  <c r="V9" i="16"/>
  <c r="AA11" i="16"/>
  <c r="X15" i="16"/>
  <c r="X18" i="16" s="1"/>
  <c r="L17" i="2"/>
  <c r="L12" i="2"/>
  <c r="S16" i="17"/>
  <c r="S15" i="17"/>
  <c r="BK10" i="11"/>
  <c r="BM9" i="11"/>
  <c r="BF15" i="11"/>
  <c r="Q15" i="17"/>
  <c r="R11" i="14"/>
  <c r="BL15" i="11"/>
  <c r="P15" i="17"/>
  <c r="S11" i="14"/>
  <c r="V11" i="14" s="1"/>
  <c r="BU16" i="17"/>
  <c r="BV11" i="16"/>
  <c r="BV17" i="16"/>
  <c r="BK17" i="11"/>
  <c r="BJ12" i="11"/>
  <c r="S16" i="14"/>
  <c r="V16" i="14" s="1"/>
  <c r="S9" i="17"/>
  <c r="AO9" i="11"/>
  <c r="BF16" i="11"/>
  <c r="BH15" i="16"/>
  <c r="BH9" i="16"/>
  <c r="F15" i="16"/>
  <c r="BL15" i="16" s="1"/>
  <c r="BE12" i="21"/>
  <c r="BE9" i="13"/>
  <c r="AL9" i="11"/>
  <c r="E11" i="6"/>
  <c r="BL16" i="11"/>
  <c r="BJ16" i="11"/>
  <c r="AQ12" i="21"/>
  <c r="BH16" i="11"/>
  <c r="T11" i="11"/>
  <c r="BG16" i="11"/>
  <c r="BH11" i="11"/>
  <c r="BK16" i="11"/>
  <c r="BJ10" i="11"/>
  <c r="T12" i="11"/>
  <c r="AQ10" i="21"/>
  <c r="BI9" i="11"/>
  <c r="BH10"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AA20" i="20"/>
  <c r="K20" i="20"/>
  <c r="U12" i="11"/>
  <c r="AN20" i="20"/>
  <c r="S20" i="20"/>
  <c r="N20" i="20"/>
  <c r="AD20" i="20"/>
  <c r="AZ20" i="20"/>
  <c r="G13" i="14"/>
  <c r="AL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<sst xmlns="http://schemas.openxmlformats.org/spreadsheetml/2006/main" count="2094" uniqueCount="912">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</sst>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Vn+rn0V20i6iu7Sw+U+axum2UaWG1+s3jCsm2E5yqZMJuzfCTIIg0xziEgOssIRciEf6K5cuMfD5XwJfPMVHQ==" saltValue="B7SFgQehwraMs13jd/im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10</v>
      </c>
      <c r="F10" s="230">
        <f>IF(ISNUMBER(Datos!K10),Datos!K10," - ")</f>
        <v>8</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43.721789883268485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10</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1804</v>
      </c>
      <c r="D16" s="229">
        <f>IF(ISNUMBER(IF(D_I="SI",Datos!I16,Datos!I16+Datos!AC16)),IF(D_I="SI",Datos!I16,Datos!I16+Datos!AC16)," - ")</f>
        <v>1758</v>
      </c>
      <c r="E16" s="230">
        <f>IF(ISNUMBER(IF(D_I="SI",Datos!J16,Datos!J16+Datos!AD16)),IF(D_I="SI",Datos!J16,Datos!J16+Datos!AD16)," - ")</f>
        <v>2049</v>
      </c>
      <c r="F16" s="230">
        <f>IF(ISNUMBER(IF(D_I="SI",Datos!K16,Datos!K16+Datos!AE16)),IF(D_I="SI",Datos!K16,Datos!K16+Datos!AE16)," - ")</f>
        <v>1993</v>
      </c>
      <c r="G16" s="1189" t="str">
        <f>IF(Datos!E16&lt;&gt;"",Datos!E16,Datos!D16)</f>
        <v>04</v>
      </c>
      <c r="H16" s="231">
        <f>IF(ISNUMBER(IF(D_I="SI",Datos!L16,Datos!L16+Datos!AF16)),IF(D_I="SI",Datos!L16,Datos!L16+Datos!AF16)," - ")</f>
        <v>1860</v>
      </c>
      <c r="I16" s="1199" t="str">
        <f>IF(ISNUMBER(Datos!AS16/Datos!BM16),Datos!AS16/Datos!BM16," - ")</f>
        <v xml:space="preserve"> - </v>
      </c>
      <c r="J16" s="1200">
        <f>IF(ISNUMBER(Datos!BY16/Datos!CN16),Datos!BY16/Datos!CN16," - ")</f>
        <v>0</v>
      </c>
      <c r="K16" s="234">
        <f t="shared" si="3"/>
        <v>3.1042128603104215E-2</v>
      </c>
      <c r="L16" s="1201">
        <f>IF(ISNUMBER(NºAsuntos!I16/NºAsuntos!G16),(NºAsuntos!I16/NºAsuntos!G16)*11," - ")</f>
        <v>10.26593075765178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57</v>
      </c>
      <c r="D17" s="229">
        <f>IF(ISNUMBER(IF(D_I="SI",Datos!I17,Datos!I17+Datos!AC17)),IF(D_I="SI",Datos!I17,Datos!I17+Datos!AC17)," - ")</f>
        <v>57</v>
      </c>
      <c r="E17" s="230">
        <f>IF(ISNUMBER(IF(D_I="SI",Datos!J17,Datos!J17+Datos!AD17)),IF(D_I="SI",Datos!J17,Datos!J17+Datos!AD17)," - ")</f>
        <v>350</v>
      </c>
      <c r="F17" s="230">
        <f>IF(ISNUMBER(IF(D_I="SI",Datos!K17,Datos!K17+Datos!AE17)),IF(D_I="SI",Datos!K17,Datos!K17+Datos!AE17)," - ")</f>
        <v>351</v>
      </c>
      <c r="G17" s="1189" t="str">
        <f>IF(Datos!E17&lt;&gt;"",Datos!E17,Datos!D17)</f>
        <v>37</v>
      </c>
      <c r="H17" s="231">
        <f>IF(ISNUMBER(IF(D_I="SI",Datos!L17,Datos!L17+Datos!AF17)),IF(D_I="SI",Datos!L17,Datos!L17+Datos!AF17)," - ")</f>
        <v>56</v>
      </c>
      <c r="I17" s="1199" t="str">
        <f>IF(ISNUMBER(Datos!AS17/Datos!BM17),Datos!AS17/Datos!BM17," - ")</f>
        <v xml:space="preserve"> - </v>
      </c>
      <c r="J17" s="1200" t="str">
        <f>IF(ISNUMBER((Datos!BY17+Datos!BZ17)/Datos!CN17),(Datos!BY17+Datos!BZ17)/Datos!CN17," - ")</f>
        <v xml:space="preserve"> - </v>
      </c>
      <c r="K17" s="234">
        <f t="shared" si="3"/>
        <v>-1.7543859649122806E-2</v>
      </c>
      <c r="L17" s="1201">
        <f>IF(ISNUMBER(NºAsuntos!I17/NºAsuntos!G17),(NºAsuntos!I17/NºAsuntos!G17)*11," - ")</f>
        <v>1.754985754985755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1861</v>
      </c>
      <c r="D18" s="1206">
        <f>SUBTOTAL(9,D15:D17)</f>
        <v>1815</v>
      </c>
      <c r="E18" s="1207">
        <f>SUBTOTAL(9,E15:E17)</f>
        <v>2399</v>
      </c>
      <c r="F18" s="1207">
        <f>SUBTOTAL(9,F15:F17)</f>
        <v>2344</v>
      </c>
      <c r="G18" s="1209" t="str">
        <f ca="1">INDIRECT(CONCATENATE("G",ROW()-1))</f>
        <v>37</v>
      </c>
      <c r="H18" s="1210">
        <f ca="1">SUMIF(G$14:G17,G18,H$14:H17)</f>
        <v>56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1879</v>
      </c>
      <c r="D19" s="1228">
        <f>SUBTOTAL(9,D9:D18)</f>
        <v>1833</v>
      </c>
      <c r="E19" s="1229">
        <f>SUBTOTAL(9,E9:E18)</f>
        <v>2409</v>
      </c>
      <c r="F19" s="1229">
        <f>SUBTOTAL(9,F9:F18)</f>
        <v>2352</v>
      </c>
      <c r="G19" s="1230"/>
      <c r="H19" s="1231">
        <f ca="1">SUMIF(B9:B18,"TOTAL",H9:H18)</f>
        <v>56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4AvlWoDFFcvE/qhjlU0zU1c2sMyKcqTsqXqJRTcrVUvqW7Saybczaqb0ryBeK58qeKF/5qoDiux32PPtO6jAkA==" saltValue="LjI9p1piMkNvmE1nd9k1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7yEqEhG/MwQHSZR+YVMYyVb9pXF115WkX2kwij1JLSSeeD7EkN9LWBuGKwQLXL89ZogYcv+iTOc7uZQQ7/TMQ==" saltValue="yB0oI2aiuQpZBPUh/fjq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10</v>
      </c>
      <c r="K10" s="185">
        <v>8</v>
      </c>
      <c r="L10" s="185">
        <v>20</v>
      </c>
      <c r="M10" s="185">
        <v>7</v>
      </c>
      <c r="N10" s="185">
        <v>18</v>
      </c>
      <c r="O10" s="185">
        <v>0</v>
      </c>
      <c r="P10" s="185">
        <v>3</v>
      </c>
      <c r="Q10" s="185">
        <v>17</v>
      </c>
      <c r="R10" s="185">
        <v>40</v>
      </c>
      <c r="S10" s="185">
        <v>24</v>
      </c>
      <c r="T10" s="185">
        <v>20</v>
      </c>
      <c r="U10" s="185">
        <v>18</v>
      </c>
      <c r="V10" s="185">
        <v>26</v>
      </c>
      <c r="W10" s="185">
        <v>5</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24</v>
      </c>
      <c r="AZ10" s="130">
        <f t="shared" si="0"/>
        <v>20</v>
      </c>
      <c r="BA10" s="130">
        <f t="shared" si="0"/>
        <v>18</v>
      </c>
      <c r="BB10" s="130">
        <f t="shared" si="0"/>
        <v>26</v>
      </c>
      <c r="BC10" s="126">
        <f t="shared" si="0"/>
        <v>5</v>
      </c>
      <c r="BD10" s="127">
        <f>IF(ISNUMBER(BA10/AZ10),BA10/AZ10," - ")</f>
        <v>0.9</v>
      </c>
      <c r="BE10" s="128">
        <f>IF(ISNUMBER(BB10/BA10),BB10/BA10, " - ")</f>
        <v>1.4444444444444444</v>
      </c>
      <c r="BF10" s="128">
        <f>IF(ISNUMBER(BC10/BA10),BC10/BA10, " - ")</f>
        <v>0.27777777777777779</v>
      </c>
      <c r="BG10" s="200">
        <f>IF(ISNUMBER((AY10+AZ10)/BA10),(AY10+AZ10)/BA10," - ")</f>
        <v>2.4444444444444446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5040</v>
      </c>
      <c r="J12" s="187">
        <v>2508</v>
      </c>
      <c r="K12" s="187">
        <v>1413</v>
      </c>
      <c r="L12" s="187">
        <v>5961</v>
      </c>
      <c r="M12" s="187">
        <v>229</v>
      </c>
      <c r="N12" s="187">
        <v>883</v>
      </c>
      <c r="O12" s="185">
        <v>455</v>
      </c>
      <c r="P12" s="187">
        <v>336</v>
      </c>
      <c r="Q12" s="187">
        <v>170</v>
      </c>
      <c r="R12" s="187">
        <v>6344</v>
      </c>
      <c r="S12" s="187">
        <v>3691</v>
      </c>
      <c r="T12" s="187">
        <v>1399</v>
      </c>
      <c r="U12" s="187">
        <v>1040</v>
      </c>
      <c r="V12" s="187">
        <v>4050</v>
      </c>
      <c r="W12" s="187">
        <v>175</v>
      </c>
      <c r="X12" s="193">
        <v>657</v>
      </c>
      <c r="Y12" s="195">
        <v>171</v>
      </c>
      <c r="Z12" s="185">
        <v>136</v>
      </c>
      <c r="AA12" s="185">
        <v>129</v>
      </c>
      <c r="AB12" s="185">
        <v>168</v>
      </c>
      <c r="AC12" s="187">
        <v>0</v>
      </c>
      <c r="AD12" s="187">
        <v>0</v>
      </c>
      <c r="AE12" s="187">
        <v>0</v>
      </c>
      <c r="AF12" s="193">
        <v>0</v>
      </c>
      <c r="AG12" s="206">
        <v>170</v>
      </c>
      <c r="AH12" s="187">
        <v>139</v>
      </c>
      <c r="AI12" s="187">
        <v>147</v>
      </c>
      <c r="AJ12" s="207">
        <v>183</v>
      </c>
      <c r="AK12" s="186">
        <v>0</v>
      </c>
      <c r="AL12" s="187">
        <v>0</v>
      </c>
      <c r="AM12" s="187">
        <v>0</v>
      </c>
      <c r="AN12" s="193">
        <v>0</v>
      </c>
      <c r="AO12" s="263">
        <v>6</v>
      </c>
      <c r="AP12" s="159">
        <v>6</v>
      </c>
      <c r="AQ12" s="159">
        <v>6</v>
      </c>
      <c r="AR12" s="158">
        <v>6</v>
      </c>
      <c r="AS12" s="349" t="s">
        <v>811</v>
      </c>
      <c r="AT12" s="207"/>
      <c r="AU12" s="206"/>
      <c r="AV12" s="207"/>
      <c r="AW12" s="206"/>
      <c r="AX12" s="207"/>
      <c r="AY12" s="127">
        <f t="shared" si="1"/>
        <v>3861</v>
      </c>
      <c r="AZ12" s="128">
        <f t="shared" si="1"/>
        <v>1538</v>
      </c>
      <c r="BA12" s="128">
        <f t="shared" si="1"/>
        <v>1187</v>
      </c>
      <c r="BB12" s="128">
        <f t="shared" si="1"/>
        <v>4233</v>
      </c>
      <c r="BC12" s="126">
        <f>IF(ISNUMBER(X12),X12," - ")</f>
        <v>657</v>
      </c>
      <c r="BD12" s="127">
        <f t="shared" si="2"/>
        <v>0.77178153446033815</v>
      </c>
      <c r="BE12" s="128">
        <f t="shared" si="3"/>
        <v>3.566133108677338</v>
      </c>
      <c r="BF12" s="128">
        <f t="shared" si="4"/>
        <v>0.55349620893007578</v>
      </c>
      <c r="BG12" s="200">
        <f t="shared" si="5"/>
        <v>4.5484414490311709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5058</v>
      </c>
      <c r="J13" s="188">
        <f t="shared" si="6"/>
        <v>2518</v>
      </c>
      <c r="K13" s="188">
        <f t="shared" si="6"/>
        <v>1421</v>
      </c>
      <c r="L13" s="188">
        <f t="shared" si="6"/>
        <v>5981</v>
      </c>
      <c r="M13" s="188">
        <f t="shared" si="6"/>
        <v>236</v>
      </c>
      <c r="N13" s="188">
        <f t="shared" si="6"/>
        <v>901</v>
      </c>
      <c r="O13" s="188">
        <f t="shared" si="6"/>
        <v>455</v>
      </c>
      <c r="P13" s="188">
        <f t="shared" si="6"/>
        <v>339</v>
      </c>
      <c r="Q13" s="188">
        <f t="shared" si="6"/>
        <v>187</v>
      </c>
      <c r="R13" s="188">
        <f t="shared" si="6"/>
        <v>6384</v>
      </c>
      <c r="S13" s="188">
        <f t="shared" si="6"/>
        <v>3715</v>
      </c>
      <c r="T13" s="188">
        <f t="shared" si="6"/>
        <v>1419</v>
      </c>
      <c r="U13" s="188">
        <f t="shared" si="6"/>
        <v>1058</v>
      </c>
      <c r="V13" s="188">
        <f t="shared" si="6"/>
        <v>4076</v>
      </c>
      <c r="W13" s="188">
        <f t="shared" si="6"/>
        <v>180</v>
      </c>
      <c r="X13" s="188">
        <f t="shared" si="6"/>
        <v>671</v>
      </c>
      <c r="Y13" s="188">
        <f t="shared" si="6"/>
        <v>171</v>
      </c>
      <c r="Z13" s="188">
        <f t="shared" si="6"/>
        <v>136</v>
      </c>
      <c r="AA13" s="188">
        <f t="shared" si="6"/>
        <v>129</v>
      </c>
      <c r="AB13" s="188">
        <f t="shared" si="6"/>
        <v>168</v>
      </c>
      <c r="AC13" s="188">
        <f t="shared" si="6"/>
        <v>0</v>
      </c>
      <c r="AD13" s="188">
        <f t="shared" si="6"/>
        <v>0</v>
      </c>
      <c r="AE13" s="188">
        <f t="shared" si="6"/>
        <v>0</v>
      </c>
      <c r="AF13" s="188">
        <f>SUBTOTAL(9,AF9:AF12)</f>
        <v>0</v>
      </c>
      <c r="AG13" s="188">
        <f t="shared" ref="AG13:AT13" si="7">SUBTOTAL(9,AG8:AG12)</f>
        <v>170</v>
      </c>
      <c r="AH13" s="188">
        <f t="shared" si="7"/>
        <v>139</v>
      </c>
      <c r="AI13" s="188">
        <f t="shared" si="7"/>
        <v>147</v>
      </c>
      <c r="AJ13" s="188">
        <f t="shared" si="7"/>
        <v>183</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3885</v>
      </c>
      <c r="AZ13" s="188">
        <f>SUBTOTAL(9,AZ8:AZ12)</f>
        <v>1558</v>
      </c>
      <c r="BA13" s="188">
        <f>SUBTOTAL(9,BA8:BA12)</f>
        <v>1205</v>
      </c>
      <c r="BB13" s="188">
        <f>SUBTOTAL(9,BB8:BB12)</f>
        <v>4259</v>
      </c>
      <c r="BC13" s="188">
        <f>SUBTOTAL(9,BC8:BC12)</f>
        <v>662</v>
      </c>
      <c r="BD13" s="209">
        <f>IF(ISNUMBER(BA13/AZ13),BA13/AZ13," - ")</f>
        <v>0.77342747111681642</v>
      </c>
      <c r="BE13" s="210">
        <f>IF(ISNUMBER(BB13/BA13),BB13/BA13, " - ")</f>
        <v>3.5344398340248961</v>
      </c>
      <c r="BF13" s="210">
        <f>IF(ISNUMBER(BC13/BA13),BC13/BA13, " - ")</f>
        <v>0.5493775933609959</v>
      </c>
      <c r="BG13" s="211">
        <f>IF(ISNUMBER((AY13+AZ13)/BA13),(AY13+AZ13)/BA13," - ")</f>
        <v>4.51701244813278</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1758</v>
      </c>
      <c r="J16" s="187">
        <v>2049</v>
      </c>
      <c r="K16" s="187">
        <v>1993</v>
      </c>
      <c r="L16" s="187">
        <v>1860</v>
      </c>
      <c r="M16" s="187">
        <v>166</v>
      </c>
      <c r="N16" s="187">
        <v>1350</v>
      </c>
      <c r="O16" s="185">
        <v>7</v>
      </c>
      <c r="P16" s="187">
        <v>34</v>
      </c>
      <c r="Q16" s="187">
        <v>37</v>
      </c>
      <c r="R16" s="187">
        <v>313</v>
      </c>
      <c r="S16" s="187">
        <v>1436</v>
      </c>
      <c r="T16" s="187">
        <v>1948</v>
      </c>
      <c r="U16" s="187">
        <v>1736</v>
      </c>
      <c r="V16" s="187">
        <v>1673</v>
      </c>
      <c r="W16" s="187">
        <v>139</v>
      </c>
      <c r="X16" s="193">
        <v>1155</v>
      </c>
      <c r="Y16" s="206">
        <v>0</v>
      </c>
      <c r="Z16" s="187">
        <v>0</v>
      </c>
      <c r="AA16" s="187">
        <v>0</v>
      </c>
      <c r="AB16" s="187">
        <v>0</v>
      </c>
      <c r="AC16" s="187">
        <v>15</v>
      </c>
      <c r="AD16" s="187">
        <v>33</v>
      </c>
      <c r="AE16" s="187">
        <v>32</v>
      </c>
      <c r="AF16" s="193">
        <v>16</v>
      </c>
      <c r="AG16" s="206">
        <v>0</v>
      </c>
      <c r="AH16" s="187">
        <v>0</v>
      </c>
      <c r="AI16" s="187">
        <v>0</v>
      </c>
      <c r="AJ16" s="207">
        <v>0</v>
      </c>
      <c r="AK16" s="186">
        <v>10</v>
      </c>
      <c r="AL16" s="187">
        <v>30</v>
      </c>
      <c r="AM16" s="187">
        <v>28</v>
      </c>
      <c r="AN16" s="193">
        <v>12</v>
      </c>
      <c r="AO16" s="263">
        <v>6</v>
      </c>
      <c r="AP16" s="159">
        <v>6</v>
      </c>
      <c r="AQ16" s="159">
        <v>6</v>
      </c>
      <c r="AR16" s="159">
        <v>6</v>
      </c>
      <c r="AS16" s="349" t="s">
        <v>491</v>
      </c>
      <c r="AT16" s="207"/>
      <c r="AU16" s="206"/>
      <c r="AV16" s="207"/>
      <c r="AW16" s="206"/>
      <c r="AX16" s="207"/>
      <c r="AY16" s="127">
        <f t="shared" si="9"/>
        <v>1436</v>
      </c>
      <c r="AZ16" s="128">
        <f t="shared" si="9"/>
        <v>1948</v>
      </c>
      <c r="BA16" s="128">
        <f t="shared" si="9"/>
        <v>1736</v>
      </c>
      <c r="BB16" s="128">
        <f t="shared" si="9"/>
        <v>1673</v>
      </c>
      <c r="BC16" s="126">
        <f>IF(ISNUMBER(W16),W16," - ")</f>
        <v>139</v>
      </c>
      <c r="BD16" s="127">
        <f t="shared" ref="BD16" si="11">IF(ISNUMBER(BA16/AZ16),BA16/AZ16," - ")</f>
        <v>0.89117043121149897</v>
      </c>
      <c r="BE16" s="128">
        <f t="shared" ref="BE16" si="12">IF(ISNUMBER(BB16/BA16),BB16/BA16, " - ")</f>
        <v>0.96370967741935487</v>
      </c>
      <c r="BF16" s="128">
        <f t="shared" ref="BF16" si="13">IF(ISNUMBER(BC16/BA16),BC16/BA16, " - ")</f>
        <v>8.0069124423963134E-2</v>
      </c>
      <c r="BG16" s="200">
        <f t="shared" si="10"/>
        <v>1.9493087557603688</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57</v>
      </c>
      <c r="J17" s="187">
        <v>350</v>
      </c>
      <c r="K17" s="187">
        <v>351</v>
      </c>
      <c r="L17" s="187">
        <v>56</v>
      </c>
      <c r="M17" s="187">
        <v>15</v>
      </c>
      <c r="N17" s="187">
        <v>289</v>
      </c>
      <c r="O17" s="187">
        <v>0</v>
      </c>
      <c r="P17" s="187">
        <v>0</v>
      </c>
      <c r="Q17" s="187">
        <v>0</v>
      </c>
      <c r="R17" s="187">
        <v>0</v>
      </c>
      <c r="S17" s="187">
        <v>39</v>
      </c>
      <c r="T17" s="187">
        <v>286</v>
      </c>
      <c r="U17" s="187">
        <v>274</v>
      </c>
      <c r="V17" s="187">
        <v>51</v>
      </c>
      <c r="W17" s="187">
        <v>17</v>
      </c>
      <c r="X17" s="193">
        <v>199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39</v>
      </c>
      <c r="AZ17" s="130">
        <f t="shared" si="14"/>
        <v>286</v>
      </c>
      <c r="BA17" s="130">
        <f t="shared" si="14"/>
        <v>274</v>
      </c>
      <c r="BB17" s="130">
        <f t="shared" si="14"/>
        <v>51</v>
      </c>
      <c r="BC17" s="126">
        <f>IF(ISNUMBER(W17),W17," - ")</f>
        <v>17</v>
      </c>
      <c r="BD17" s="127">
        <f>IF(ISNUMBER(BA17/AZ17),BA17/AZ17," - ")</f>
        <v>0.95804195804195802</v>
      </c>
      <c r="BE17" s="128">
        <f>IF(ISNUMBER(BB17/BA17),BB17/BA17, " - ")</f>
        <v>0.18613138686131386</v>
      </c>
      <c r="BF17" s="128">
        <f>IF(ISNUMBER(BC17/BA17),BC17/BA17, " - ")</f>
        <v>6.2043795620437957E-2</v>
      </c>
      <c r="BG17" s="200">
        <f>IF(ISNUMBER((AY17+AZ17)/BA17),(AY17+AZ17)/BA17," - ")</f>
        <v>1.1861313868613139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1815</v>
      </c>
      <c r="J18" s="188">
        <f t="shared" si="15"/>
        <v>2399</v>
      </c>
      <c r="K18" s="188">
        <f t="shared" si="15"/>
        <v>2344</v>
      </c>
      <c r="L18" s="188">
        <f t="shared" si="15"/>
        <v>1916</v>
      </c>
      <c r="M18" s="188">
        <f t="shared" si="15"/>
        <v>181</v>
      </c>
      <c r="N18" s="188">
        <f t="shared" si="15"/>
        <v>1639</v>
      </c>
      <c r="O18" s="188">
        <f t="shared" si="15"/>
        <v>7</v>
      </c>
      <c r="P18" s="188">
        <f t="shared" si="15"/>
        <v>34</v>
      </c>
      <c r="Q18" s="188">
        <f t="shared" si="15"/>
        <v>37</v>
      </c>
      <c r="R18" s="188">
        <f t="shared" si="15"/>
        <v>313</v>
      </c>
      <c r="S18" s="188">
        <f t="shared" si="15"/>
        <v>1475</v>
      </c>
      <c r="T18" s="188">
        <f t="shared" si="15"/>
        <v>2234</v>
      </c>
      <c r="U18" s="188">
        <f t="shared" si="15"/>
        <v>2010</v>
      </c>
      <c r="V18" s="188">
        <f t="shared" si="15"/>
        <v>1724</v>
      </c>
      <c r="W18" s="188">
        <f t="shared" si="15"/>
        <v>156</v>
      </c>
      <c r="X18" s="188">
        <f t="shared" si="15"/>
        <v>1354</v>
      </c>
      <c r="Y18" s="188">
        <f t="shared" si="15"/>
        <v>0</v>
      </c>
      <c r="Z18" s="188">
        <f t="shared" si="15"/>
        <v>0</v>
      </c>
      <c r="AA18" s="188">
        <f t="shared" si="15"/>
        <v>0</v>
      </c>
      <c r="AB18" s="188">
        <f t="shared" si="15"/>
        <v>0</v>
      </c>
      <c r="AC18" s="188">
        <f t="shared" si="15"/>
        <v>15</v>
      </c>
      <c r="AD18" s="188">
        <f t="shared" si="15"/>
        <v>33</v>
      </c>
      <c r="AE18" s="188">
        <f t="shared" si="15"/>
        <v>32</v>
      </c>
      <c r="AF18" s="188">
        <f t="shared" si="15"/>
        <v>16</v>
      </c>
      <c r="AG18" s="188">
        <f t="shared" si="15"/>
        <v>0</v>
      </c>
      <c r="AH18" s="188">
        <f t="shared" si="15"/>
        <v>0</v>
      </c>
      <c r="AI18" s="188">
        <f t="shared" si="15"/>
        <v>0</v>
      </c>
      <c r="AJ18" s="188">
        <f t="shared" si="15"/>
        <v>0</v>
      </c>
      <c r="AK18" s="188">
        <f t="shared" si="15"/>
        <v>10</v>
      </c>
      <c r="AL18" s="188">
        <f t="shared" si="15"/>
        <v>30</v>
      </c>
      <c r="AM18" s="188">
        <f t="shared" si="15"/>
        <v>28</v>
      </c>
      <c r="AN18" s="188">
        <f t="shared" si="15"/>
        <v>12</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1475</v>
      </c>
      <c r="AZ18" s="188">
        <f>SUBTOTAL(9,AZ14:AZ17)</f>
        <v>2234</v>
      </c>
      <c r="BA18" s="188">
        <f>SUBTOTAL(9,BA14:BA17)</f>
        <v>2010</v>
      </c>
      <c r="BB18" s="188">
        <f>SUBTOTAL(9,BB14:BB17)</f>
        <v>1724</v>
      </c>
      <c r="BC18" s="188">
        <f>SUBTOTAL(9,BC14:BC17)</f>
        <v>156</v>
      </c>
      <c r="BD18" s="209">
        <f>IF(ISNUMBER(BA18/AZ18),BA18/AZ18," - ")</f>
        <v>0.89973142345568491</v>
      </c>
      <c r="BE18" s="210">
        <f>IF(ISNUMBER(BB18/BA18),BB18/BA18, " - ")</f>
        <v>0.8577114427860697</v>
      </c>
      <c r="BF18" s="210">
        <f>IF(ISNUMBER(BC18/BA18),BC18/BA18, " - ")</f>
        <v>7.7611940298507459E-2</v>
      </c>
      <c r="BG18" s="211">
        <f>IF(ISNUMBER((AY18+AZ18)/BA18),(AY18+AZ18)/BA18," - ")</f>
        <v>1.8452736318407961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6873</v>
      </c>
      <c r="J19" s="135">
        <f t="shared" si="18"/>
        <v>4917</v>
      </c>
      <c r="K19" s="135">
        <f t="shared" si="18"/>
        <v>3765</v>
      </c>
      <c r="L19" s="135">
        <f t="shared" si="18"/>
        <v>7897</v>
      </c>
      <c r="M19" s="135">
        <f t="shared" si="18"/>
        <v>417</v>
      </c>
      <c r="N19" s="135">
        <f t="shared" si="18"/>
        <v>2540</v>
      </c>
      <c r="O19" s="135">
        <f t="shared" si="18"/>
        <v>462</v>
      </c>
      <c r="P19" s="135">
        <f t="shared" si="18"/>
        <v>373</v>
      </c>
      <c r="Q19" s="135">
        <f t="shared" si="18"/>
        <v>224</v>
      </c>
      <c r="R19" s="135">
        <f t="shared" si="18"/>
        <v>6697</v>
      </c>
      <c r="S19" s="135">
        <f t="shared" si="18"/>
        <v>5190</v>
      </c>
      <c r="T19" s="135">
        <f t="shared" si="18"/>
        <v>3653</v>
      </c>
      <c r="U19" s="135">
        <f t="shared" si="18"/>
        <v>3068</v>
      </c>
      <c r="V19" s="135">
        <f t="shared" si="18"/>
        <v>5800</v>
      </c>
      <c r="W19" s="135">
        <f t="shared" si="18"/>
        <v>336</v>
      </c>
      <c r="X19" s="135">
        <f t="shared" si="18"/>
        <v>2025</v>
      </c>
      <c r="Y19" s="135">
        <f t="shared" si="18"/>
        <v>171</v>
      </c>
      <c r="Z19" s="135">
        <f t="shared" si="18"/>
        <v>136</v>
      </c>
      <c r="AA19" s="135">
        <f t="shared" si="18"/>
        <v>129</v>
      </c>
      <c r="AB19" s="135">
        <f t="shared" si="18"/>
        <v>168</v>
      </c>
      <c r="AC19" s="135">
        <f t="shared" si="18"/>
        <v>15</v>
      </c>
      <c r="AD19" s="135">
        <f t="shared" si="18"/>
        <v>33</v>
      </c>
      <c r="AE19" s="135">
        <f t="shared" si="18"/>
        <v>32</v>
      </c>
      <c r="AF19" s="135">
        <f t="shared" si="18"/>
        <v>16</v>
      </c>
      <c r="AG19" s="135">
        <f t="shared" si="18"/>
        <v>170</v>
      </c>
      <c r="AH19" s="135">
        <f t="shared" si="18"/>
        <v>139</v>
      </c>
      <c r="AI19" s="135">
        <f t="shared" si="18"/>
        <v>147</v>
      </c>
      <c r="AJ19" s="135">
        <f t="shared" si="18"/>
        <v>183</v>
      </c>
      <c r="AK19" s="135">
        <f t="shared" si="18"/>
        <v>10</v>
      </c>
      <c r="AL19" s="135">
        <f t="shared" si="18"/>
        <v>30</v>
      </c>
      <c r="AM19" s="135">
        <f t="shared" si="18"/>
        <v>28</v>
      </c>
      <c r="AN19" s="214">
        <f t="shared" si="18"/>
        <v>12</v>
      </c>
      <c r="AO19" s="215">
        <v>7</v>
      </c>
      <c r="AP19" s="215">
        <v>7</v>
      </c>
      <c r="AQ19" s="215">
        <v>7</v>
      </c>
      <c r="AR19" s="215">
        <v>7</v>
      </c>
      <c r="AS19" s="157">
        <f t="shared" si="18"/>
        <v>0</v>
      </c>
      <c r="AT19" s="157">
        <f t="shared" si="18"/>
        <v>0</v>
      </c>
      <c r="AU19" s="215"/>
      <c r="AV19" s="216"/>
      <c r="AW19" s="215"/>
      <c r="AX19" s="216"/>
      <c r="AY19" s="134">
        <f>SUBTOTAL(9,AY9:AY18)</f>
        <v>5360</v>
      </c>
      <c r="AZ19" s="135">
        <f>SUBTOTAL(9,AZ9:AZ18)</f>
        <v>3792</v>
      </c>
      <c r="BA19" s="135">
        <f>SUBTOTAL(9,BA9:BA18)</f>
        <v>3215</v>
      </c>
      <c r="BB19" s="135">
        <f>SUBTOTAL(9,BB9:BB18)</f>
        <v>5983</v>
      </c>
      <c r="BC19" s="136">
        <f>SUBTOTAL(9,BC9:BC18)</f>
        <v>818</v>
      </c>
      <c r="BD19" s="217">
        <f>IF(ISNUMBER(BA19/AZ19),BA19/AZ19," - ")</f>
        <v>0.84783755274261607</v>
      </c>
      <c r="BE19" s="214">
        <f>IF(ISNUMBER(BB19/BA19),BB19/BA19, " - ")</f>
        <v>1.8609642301710732</v>
      </c>
      <c r="BF19" s="214">
        <f>IF(ISNUMBER(BC19/BA19),BC19/BA19, " - ")</f>
        <v>0.25443234836702955</v>
      </c>
      <c r="BG19" s="136">
        <f>IF(ISNUMBER((AY19+AZ19)/BA19),(AY19+AZ19)/BA19," - ")</f>
        <v>2.846656298600311</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lRFYBf47IFAYEz6NEezzmzOLzotBZ3o0DYSJ4nb+T1n93HSuDn8hTWOhCVMuJIKoYGYjxgNXi26gZa82j1Kg==" saltValue="R2QC/ovrx1YdlFwd1J1J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M8Any91S/GERCy+MccYn9mm+/CUEzYJ3EGZPVEtcMbkASz8IclkQGlISfm3/LChP+l5gOajQzEUGtdeyfE9WA==" saltValue="wNae5RkrBwa2+8dcPt7g1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COSLADA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17</v>
      </c>
      <c r="AD10" s="503"/>
      <c r="AE10" s="516"/>
      <c r="AF10" s="505">
        <f>IF(ISNUMBER(Datos!L10),Datos!L10,"-")</f>
        <v>20</v>
      </c>
      <c r="AG10" s="503"/>
      <c r="AH10" s="503"/>
      <c r="AI10" s="503"/>
      <c r="AJ10" s="503"/>
      <c r="AK10" s="503"/>
      <c r="AL10" s="504"/>
      <c r="AM10" s="671">
        <f>IF(ISNUMBER(Datos!R10),Datos!R10," - ")</f>
        <v>40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18</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-0.25925925925925924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136</v>
      </c>
      <c r="O12" s="503"/>
      <c r="P12" s="503"/>
      <c r="Q12" s="501">
        <f>IF(ISNUMBER(Datos!P12),Datos!P12,0)</f>
        <v>336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168</v>
      </c>
      <c r="AI12" s="503" t="str">
        <f>IF(ISNUMBER(Datos!CD12),Datos!CD12,"-")</f>
        <v>-</v>
      </c>
      <c r="AJ12" s="503" t="str">
        <f>IF(ISNUMBER(Datos!EN12),Datos!EN12," - ")</f>
        <v xml:space="preserve"> - </v>
      </c>
      <c r="AK12" s="503"/>
      <c r="AL12" s="504"/>
      <c r="AM12" s="671">
        <f>IF(ISNUMBER(Datos!R12),Datos!R12," - ")</f>
        <v>6344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229</v>
      </c>
      <c r="BD12" s="619">
        <f>IF(ISNUMBER(Datos!N12),Datos!N12," - ")</f>
        <v>883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0.58320726172465964</v>
      </c>
      <c r="BH12" s="669">
        <f>IF(ISNUMBER(((IF(J_V="SI",Datos!L12/Datos!K12,(Datos!L12+Datos!AB12)/(Datos!K12+Datos!AA12)))*11)/factor_trimestre),((IF(J_V="SI",Datos!L12/Datos!K12,(Datos!L12+Datos!AB12)/(Datos!K12+Datos!AA12)))*11)/factor_trimestre," - ")</f>
        <v>7.9494163424124515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2.6869537067011978E-2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136</v>
      </c>
      <c r="O13" s="1046">
        <f t="shared" si="0"/>
        <v>0</v>
      </c>
      <c r="P13" s="1046">
        <f t="shared" si="0"/>
        <v>0</v>
      </c>
      <c r="Q13" s="1045">
        <f t="shared" si="0"/>
        <v>339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187</v>
      </c>
      <c r="AD13" s="1045">
        <f t="shared" si="1"/>
        <v>0</v>
      </c>
      <c r="AE13" s="1045">
        <f t="shared" si="1"/>
        <v>0</v>
      </c>
      <c r="AF13" s="1045">
        <f t="shared" si="1"/>
        <v>20</v>
      </c>
      <c r="AG13" s="1045">
        <f t="shared" si="1"/>
        <v>0</v>
      </c>
      <c r="AH13" s="1045">
        <f t="shared" si="1"/>
        <v>168</v>
      </c>
      <c r="AI13" s="1045">
        <f t="shared" si="1"/>
        <v>0</v>
      </c>
      <c r="AJ13" s="1045">
        <f t="shared" si="1"/>
        <v>0</v>
      </c>
      <c r="AK13" s="1045">
        <f t="shared" si="1"/>
        <v>0</v>
      </c>
      <c r="AL13" s="1045">
        <f t="shared" si="1"/>
        <v>0</v>
      </c>
      <c r="AM13" s="1045">
        <f t="shared" si="1"/>
        <v>6384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236</v>
      </c>
      <c r="BD13" s="1045">
        <f t="shared" si="1"/>
        <v>901</v>
      </c>
      <c r="BE13" s="1045">
        <f t="shared" si="1"/>
        <v>0</v>
      </c>
      <c r="BF13" s="1045">
        <f t="shared" si="1"/>
        <v>0</v>
      </c>
      <c r="BG13" s="1045">
        <f>IF(ISNUMBER(Datos!K13/Datos!J13),Datos!K13/Datos!J13," - ")</f>
        <v>0.56433677521842729</v>
      </c>
      <c r="BH13" s="1049">
        <f>IF(ISNUMBER(((Datos!L13/Datos!K13)*11)/factor_trimestre),((Datos!L13/Datos!K13)*11)/factor_trimestre," - ")</f>
        <v>8.4180154820548907</v>
      </c>
      <c r="BI13" s="1045">
        <f>IF(ISNUMBER('Resol  Asuntos'!D13/NºAsuntos!G13),'Resol  Asuntos'!D13/NºAsuntos!G13," - ")</f>
        <v>0.15225806451612903</v>
      </c>
      <c r="BJ13" s="1045" t="str">
        <f>IF(ISNUMBER(Datos!CI13/Datos!CJ13),Datos!CI13/Datos!CJ13," - ")</f>
        <v xml:space="preserve"> - </v>
      </c>
      <c r="BK13" s="1045">
        <f>SUBTOTAL(9,BK8:BK12)</f>
        <v>0</v>
      </c>
      <c r="BL13" s="1045">
        <f>IF(ISNUMBER((I13-AB13+L13)/(F13)),(I13-AB13+L13)/(F13)," - ")</f>
        <v>-0.44444444444444442</v>
      </c>
      <c r="BM13" s="1050">
        <f>SUBTOTAL(9,BM9:BM12)</f>
        <v>-0.23238972219224727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1804</v>
      </c>
      <c r="G16" s="650">
        <f>IF(ISNUMBER(IF(D_I="SI",Datos!I16,Datos!I16+Datos!AC16)),IF(D_I="SI",Datos!I16,Datos!I16+Datos!AC16)," - ")</f>
        <v>1758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1993</v>
      </c>
      <c r="AC16" s="230">
        <f>IF(ISNUMBER(Datos!Q16),Datos!Q16," - ")</f>
        <v>37</v>
      </c>
      <c r="AD16" s="343"/>
      <c r="AE16" s="515"/>
      <c r="AF16" s="648">
        <f>IF(ISNUMBER(IF(D_I="SI",Datos!L16,Datos!L16+Datos!AF16)),IF(D_I="SI",Datos!L16,Datos!L16+Datos!AF16)," - ")</f>
        <v>1860</v>
      </c>
      <c r="AG16" s="343"/>
      <c r="AH16" s="343"/>
      <c r="AI16" s="343"/>
      <c r="AJ16" s="503"/>
      <c r="AK16" s="343"/>
      <c r="AL16" s="499"/>
      <c r="AM16" s="344">
        <f>IF(ISNUMBER(Datos!R16),Datos!R16," - ")</f>
        <v>313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166</v>
      </c>
      <c r="BD16" s="233">
        <f>IF(ISNUMBER(Datos!N16),Datos!N16," - ")</f>
        <v>1350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0.97266959492435334</v>
      </c>
      <c r="BH16" s="669">
        <f>IF(ISNUMBER(((IF(D_I="SI",Datos!L16/Datos!K16,(Datos!L16+Datos!AF16)/(Datos!K16+Datos!AE16)))*11)/factor_trimestre),((IF(D_I="SI",Datos!L16/Datos!K16,(Datos!L16+Datos!AF16)/(Datos!K16+Datos!AE16)))*11)/factor_trimestre," - ")</f>
        <v>1.8665328650275965</v>
      </c>
      <c r="BI16" s="247">
        <f>IF(ISNUMBER('Resol  Asuntos'!D16/NºAsuntos!G16),'Resol  Asuntos'!D16/NºAsuntos!G16," - ")</f>
        <v>8.3291520321123927E-2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351</v>
      </c>
      <c r="AC17" s="501">
        <f>IF(ISNUMBER(Datos!Q17),Datos!Q17," - ")</f>
        <v>0</v>
      </c>
      <c r="AD17" s="503"/>
      <c r="AE17" s="515"/>
      <c r="AF17" s="505">
        <f>IF(ISNUMBER(Datos!L17),Datos!L17,"-")</f>
        <v>56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289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1.0028571428571429</v>
      </c>
      <c r="BH17" s="669">
        <f>IF(ISNUMBER(((IF(D_I="SI",Datos!L17/Datos!K17,(Datos!L17+Datos!AF17)/(Datos!K17+Datos!AE17)))*11)/factor_trimestre),((IF(D_I="SI",Datos!L17/Datos!K17,(Datos!L17+Datos!AF17)/(Datos!K17+Datos!AE17)))*11)/factor_trimestre," - ")</f>
        <v>0.31908831908831908</v>
      </c>
      <c r="BI17" s="668">
        <f>IF(ISNUMBER('Resol  Asuntos'!D17/NºAsuntos!G17),'Resol  Asuntos'!D17/NºAsuntos!G17," - ")</f>
        <v>4.2735042735042736E-2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1804</v>
      </c>
      <c r="G18" s="1044">
        <f>SUBTOTAL(9,G15:G17)</f>
        <v>1815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2344</v>
      </c>
      <c r="AC18" s="1045">
        <f t="shared" si="4"/>
        <v>37</v>
      </c>
      <c r="AD18" s="1045">
        <f t="shared" si="4"/>
        <v>0</v>
      </c>
      <c r="AE18" s="1045">
        <f t="shared" si="4"/>
        <v>0</v>
      </c>
      <c r="AF18" s="1045">
        <f t="shared" si="4"/>
        <v>1916</v>
      </c>
      <c r="AG18" s="1045">
        <f t="shared" si="4"/>
        <v>0</v>
      </c>
      <c r="AH18" s="1045">
        <f t="shared" si="4"/>
        <v>0</v>
      </c>
      <c r="AI18" s="1045">
        <f t="shared" si="4"/>
        <v>0</v>
      </c>
      <c r="AJ18" s="1045">
        <f t="shared" si="4"/>
        <v>0</v>
      </c>
      <c r="AK18" s="1045">
        <f t="shared" si="4"/>
        <v>0</v>
      </c>
      <c r="AL18" s="1045">
        <f t="shared" si="4"/>
        <v>0</v>
      </c>
      <c r="AM18" s="1045">
        <f t="shared" si="4"/>
        <v>313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181</v>
      </c>
      <c r="BD18" s="1045">
        <f t="shared" si="4"/>
        <v>1639</v>
      </c>
      <c r="BE18" s="1045">
        <f t="shared" si="4"/>
        <v>0</v>
      </c>
      <c r="BF18" s="1045">
        <f t="shared" si="4"/>
        <v>0</v>
      </c>
      <c r="BG18" s="1045">
        <f>IF(ISNUMBER(Datos!K18/Datos!J18),Datos!K18/Datos!J18," - ")</f>
        <v>0.97707378074197582</v>
      </c>
      <c r="BH18" s="1049">
        <f>IF(ISNUMBER(((Datos!L18/Datos!K18)*11)/factor_trimestre),((Datos!L18/Datos!K18)*11)/factor_trimestre," - ")</f>
        <v>1.6348122866894199</v>
      </c>
      <c r="BI18" s="1045">
        <f>SUBTOTAL(9,BI15:BI17)</f>
        <v>0.12602656305616666</v>
      </c>
      <c r="BJ18" s="1045">
        <f>SUBTOTAL(9,BJ15:BJ17)</f>
        <v>0</v>
      </c>
      <c r="BK18" s="1045">
        <f>SUBTOTAL(9,BK15:BK17)</f>
        <v>0</v>
      </c>
      <c r="BL18" s="1045">
        <f>IF(ISNUMBER((I18-AB18+L18)/(F18)),(I18-AB18+L18)/(F18)," - ")</f>
        <v>-1.2993348115299335</v>
      </c>
      <c r="BM18" s="1051">
        <f>IF(ISNUMBER((Datos!P18-Datos!Q18)/(Datos!R18-Datos!P18+Datos!Q18)),(Datos!P18-Datos!Q18)/(Datos!R18-Datos!P18+Datos!Q18)," - ")</f>
        <v>-9.4936708860759497E-3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1822</v>
      </c>
      <c r="G19" s="966">
        <f t="shared" si="6"/>
        <v>1833</v>
      </c>
      <c r="H19" s="968">
        <f t="shared" si="6"/>
        <v>0</v>
      </c>
      <c r="I19" s="966">
        <f t="shared" si="6"/>
        <v>0</v>
      </c>
      <c r="J19" s="968">
        <f t="shared" si="6"/>
        <v>0</v>
      </c>
      <c r="K19" s="968">
        <f t="shared" si="6"/>
        <v>0</v>
      </c>
      <c r="L19" s="1027">
        <f t="shared" si="6"/>
        <v>0</v>
      </c>
      <c r="M19" s="1027">
        <f t="shared" si="6"/>
        <v>0</v>
      </c>
      <c r="N19" s="1027">
        <f t="shared" si="6"/>
        <v>136</v>
      </c>
      <c r="O19" s="1027">
        <f t="shared" si="6"/>
        <v>0</v>
      </c>
      <c r="P19" s="1027">
        <f t="shared" si="6"/>
        <v>0</v>
      </c>
      <c r="Q19" s="968">
        <f t="shared" si="6"/>
        <v>373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2352</v>
      </c>
      <c r="AC19" s="967">
        <f t="shared" si="7"/>
        <v>224</v>
      </c>
      <c r="AD19" s="967">
        <f t="shared" si="7"/>
        <v>0</v>
      </c>
      <c r="AE19" s="967">
        <f t="shared" si="7"/>
        <v>0</v>
      </c>
      <c r="AF19" s="974">
        <f t="shared" si="7"/>
        <v>1936</v>
      </c>
      <c r="AG19" s="974">
        <f t="shared" si="7"/>
        <v>0</v>
      </c>
      <c r="AH19" s="974">
        <f t="shared" si="7"/>
        <v>168</v>
      </c>
      <c r="AI19" s="974">
        <f t="shared" si="7"/>
        <v>0</v>
      </c>
      <c r="AJ19" s="967">
        <f t="shared" si="7"/>
        <v>0</v>
      </c>
      <c r="AK19" s="974">
        <f t="shared" si="7"/>
        <v>0</v>
      </c>
      <c r="AL19" s="974">
        <f t="shared" si="7"/>
        <v>0</v>
      </c>
      <c r="AM19" s="974">
        <f t="shared" si="7"/>
        <v>6697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417</v>
      </c>
      <c r="BD19" s="966">
        <f t="shared" si="7"/>
        <v>2540</v>
      </c>
      <c r="BE19" s="966">
        <f t="shared" si="7"/>
        <v>0</v>
      </c>
      <c r="BF19" s="976">
        <f t="shared" si="7"/>
        <v>0</v>
      </c>
      <c r="BG19" s="1061">
        <f>IF(ISNUMBER(Datos!K19/Datos!J19),Datos!K19/Datos!J19," - ")</f>
        <v>0.76571079926784624</v>
      </c>
      <c r="BH19" s="1061">
        <f>IF(ISNUMBER(((Datos!L19/Datos!K19)*11)/factor_trimestre),((Datos!L19/Datos!K19)*11)/factor_trimestre," - ")</f>
        <v>4.1949535192563081</v>
      </c>
      <c r="BI19" s="959">
        <f>IF(ISNUMBER(Datos!J19/Datos!I19),Datos!J19/Datos!I19," - ")</f>
        <v>0.71540811872544741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-1.2908891328210756</v>
      </c>
      <c r="BM19" s="1035">
        <f>IF(ISNUMBER((Datos!P19-Datos!Q19+R19)/(Datos!R19-Datos!P19+Datos!Q19-R19)),(Datos!P19-Datos!Q19+R19)/(Datos!R19-Datos!P19+Datos!Q19-R19)," - ")</f>
        <v>2.2755039706780698E-2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3.2574700476153438</v>
      </c>
      <c r="F21" s="599">
        <f>IF(ISNUMBER(STDEV(F8:F18)),STDEV(F8:F18),"-")</f>
        <v>1031.1475807726715</v>
      </c>
      <c r="G21" s="600">
        <f>IF(ISNUMBER(STDEV(G8:G18)),STDEV(G8:G18),"-")</f>
        <v>961.86989764728571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1136.2427997571644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102.76380685825141</v>
      </c>
      <c r="BD21" s="599"/>
      <c r="BE21" s="599">
        <f>IF(ISNUMBER(STDEV(BE8:BE18)),STDEV(BE8:BE18),"-")</f>
        <v>0</v>
      </c>
      <c r="BF21" s="604">
        <f>IF(ISNUMBER(STDEV(BF8:BF18)),STDEV(BF8:BF18),"-")</f>
        <v>0</v>
      </c>
      <c r="BG21" s="914">
        <f>IF(ISNUMBER(STDEV(BG8:BG18)),STDEV(BG8:BG18),"-")</f>
        <v>0.20158655285717761</v>
      </c>
      <c r="BH21" s="918">
        <f>IF(ISNUMBER(STDEV(BH8:BH18)),STDEV(BH8:BH18),"-")</f>
        <v>3.4518541488108614</v>
      </c>
      <c r="BI21" s="253">
        <f>IF(ISNUMBER(STDEV(BI8:BI18)),STDEV(BI8:BI18),"-")</f>
        <v>4.817360731101137E-2</v>
      </c>
      <c r="BJ21" s="234" t="str">
        <f>IF(ISNUMBER(BL21/BM21),BL21/BM21," - ")</f>
        <v xml:space="preserve"> - </v>
      </c>
      <c r="BK21" s="626"/>
      <c r="BL21" s="607">
        <f>IF(ISNUMBER(STDEV(BL8:BL18)),STDEV(BL8:BL18),"-")</f>
        <v>0.60449877573720623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bqPs2ixnsmUGJj65jr80+BlN0PjIxv0Yd0mz9SNlgdHdisESlMLtmVCPNFGUHy2AuMYcLngtjwBrogJEe2Kyg==" saltValue="s5k9gi5pCjs4d8YnMPgQ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COSLADA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17</v>
      </c>
      <c r="AA10" s="505">
        <f>IF(ISNUMBER(Datos!L10),Datos!L10,"-")</f>
        <v>20</v>
      </c>
      <c r="AB10" s="503"/>
      <c r="AC10" s="503"/>
      <c r="AD10" s="516"/>
      <c r="AE10" s="516">
        <f>IF(ISNUMBER(Datos!R10),Datos!R10," - ")</f>
        <v>40</v>
      </c>
      <c r="AF10" s="619" t="str">
        <f>IF(ISNUMBER(Datos!BV10),Datos!BV10," - ")</f>
        <v xml:space="preserve"> - </v>
      </c>
      <c r="AG10" s="506" t="str">
        <f>IF(ISNUMBER(Datos!DV10),Datos!DV10," - ")</f>
        <v xml:space="preserve"> - </v>
      </c>
      <c r="AH10" s="507"/>
      <c r="AI10" s="508"/>
      <c r="AJ10" s="506">
        <f>IF(ISNUMBER(Datos!M10),Datos!M10," - ")</f>
        <v>7</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-0.25925925925925924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170</v>
      </c>
      <c r="AA12" s="505" t="str">
        <f>IF(ISNUMBER(IF(J_V="SI",Datos!L12,Datos!L12+Datos!AB12)-IF(Monitorios="SI",Datos!CD12,0)),
                          IF(J_V="SI",Datos!L12,Datos!L12+Datos!AB12)-IF(Monitorios="SI",Datos!CD12,0),
                          " - ")</f>
        <v xml:space="preserve"> - </v>
      </c>
      <c r="AB12" s="503"/>
      <c r="AC12" s="503"/>
      <c r="AD12" s="516"/>
      <c r="AE12" s="516">
        <f>IF(ISNUMBER(Datos!R12),Datos!R12," - ")</f>
        <v>6344</v>
      </c>
      <c r="AF12" s="619" t="str">
        <f>IF(ISNUMBER(Datos!BV12),Datos!BV12," - ")</f>
        <v xml:space="preserve"> - </v>
      </c>
      <c r="AG12" s="506" t="str">
        <f>IF(ISNUMBER(Datos!DV12),Datos!DV12," - ")</f>
        <v xml:space="preserve"> - </v>
      </c>
      <c r="AH12" s="507"/>
      <c r="AI12" s="508"/>
      <c r="AJ12" s="506">
        <f>IF(ISNUMBER(Datos!M12),Datos!M12," - ")</f>
        <v>229</v>
      </c>
      <c r="AK12" s="619">
        <f>IF(ISNUMBER(Datos!N12),Datos!N12," - ")</f>
        <v>883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7.9494163424124515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2.6869537067011978E-2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339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187</v>
      </c>
      <c r="AA13" s="1046">
        <f t="shared" si="2"/>
        <v>20</v>
      </c>
      <c r="AB13" s="1046">
        <f t="shared" si="2"/>
        <v>0</v>
      </c>
      <c r="AC13" s="1046">
        <f t="shared" si="2"/>
        <v>0</v>
      </c>
      <c r="AD13" s="1046">
        <f t="shared" si="2"/>
        <v>0</v>
      </c>
      <c r="AE13" s="1046">
        <f t="shared" si="2"/>
        <v>6384</v>
      </c>
      <c r="AF13" s="1054">
        <f t="shared" si="2"/>
        <v>0</v>
      </c>
      <c r="AG13" s="1054">
        <f t="shared" si="2"/>
        <v>0</v>
      </c>
      <c r="AH13" s="1054">
        <f t="shared" si="2"/>
        <v>0</v>
      </c>
      <c r="AI13" s="1054">
        <f t="shared" si="2"/>
        <v>0</v>
      </c>
      <c r="AJ13" s="1054">
        <f t="shared" si="2"/>
        <v>236</v>
      </c>
      <c r="AK13" s="1054">
        <f t="shared" si="2"/>
        <v>901</v>
      </c>
      <c r="AL13" s="1054">
        <f t="shared" si="2"/>
        <v>0</v>
      </c>
      <c r="AM13" s="1054">
        <f t="shared" si="2"/>
        <v>0</v>
      </c>
      <c r="AN13" s="1054">
        <f t="shared" si="2"/>
        <v>0</v>
      </c>
      <c r="AO13" s="1050">
        <f>IF(ISNUMBER(((NºAsuntos!I13/NºAsuntos!G13)*11)/factor_trimestre),((NºAsuntos!I13/NºAsuntos!G13)*11)/factor_trimestre," - ")</f>
        <v>7.9341935483870971</v>
      </c>
      <c r="AP13" s="1056" t="str">
        <f>IF(ISNUMBER(Datos!CI13/Datos!CJ13),Datos!CI13/Datos!CJ13," - ")</f>
        <v xml:space="preserve"> - </v>
      </c>
      <c r="AQ13" s="1074">
        <f t="shared" ref="AQ13:AV13" si="3">SUBTOTAL(9,AQ9:AQ12)</f>
        <v>0</v>
      </c>
      <c r="AR13" s="1074">
        <f t="shared" si="3"/>
        <v>-0.23238972219224727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1804</v>
      </c>
      <c r="G16" s="506">
        <f>IF(ISNUMBER(IF(D_I="SI",Datos!I16,Datos!I16+Datos!AC16)),IF(D_I="SI",Datos!I16,Datos!I16+Datos!AC16)," - ")</f>
        <v>1758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1993</v>
      </c>
      <c r="Z16" s="703">
        <f>IF(ISNUMBER(Datos!Q16),Datos!Q16," - ")</f>
        <v>37</v>
      </c>
      <c r="AA16" s="505">
        <f>IF(ISNUMBER(IF(D_I="SI",Datos!L16,Datos!L16+Datos!AF16)),IF(D_I="SI",Datos!L16,Datos!L16+Datos!AF16)," - ")</f>
        <v>1860</v>
      </c>
      <c r="AB16" s="503"/>
      <c r="AC16" s="503"/>
      <c r="AD16" s="516"/>
      <c r="AE16" s="516">
        <f>IF(ISNUMBER(Datos!R16),Datos!R16," - ")</f>
        <v>313</v>
      </c>
      <c r="AF16" s="619" t="str">
        <f>IF(ISNUMBER(Datos!BV16),Datos!BV16," - ")</f>
        <v xml:space="preserve"> - </v>
      </c>
      <c r="AG16" s="506"/>
      <c r="AH16" s="507"/>
      <c r="AI16" s="508"/>
      <c r="AJ16" s="506">
        <f>IF(ISNUMBER(Datos!M16),Datos!M16," - ")</f>
        <v>166</v>
      </c>
      <c r="AK16" s="619">
        <f>IF(ISNUMBER(Datos!N16),Datos!N16," - ")</f>
        <v>1350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1.8665328650275965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351</v>
      </c>
      <c r="Z17" s="703">
        <f>IF(ISNUMBER(Datos!Q17),Datos!Q17," - ")</f>
        <v>0</v>
      </c>
      <c r="AA17" s="505">
        <f>IF(ISNUMBER(Datos!L17),Datos!L17,"-")</f>
        <v>56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289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0.31908831908831908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1804</v>
      </c>
      <c r="G18" s="1044">
        <f>SUBTOTAL(9,G15:G17)</f>
        <v>1815</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2344</v>
      </c>
      <c r="Z18" s="1078">
        <f t="shared" si="5"/>
        <v>37</v>
      </c>
      <c r="AA18" s="1078">
        <f t="shared" si="5"/>
        <v>1916</v>
      </c>
      <c r="AB18" s="1078">
        <f t="shared" si="5"/>
        <v>0</v>
      </c>
      <c r="AC18" s="1078">
        <f t="shared" si="5"/>
        <v>0</v>
      </c>
      <c r="AD18" s="1078">
        <f t="shared" si="5"/>
        <v>0</v>
      </c>
      <c r="AE18" s="1078">
        <f t="shared" si="5"/>
        <v>313</v>
      </c>
      <c r="AF18" s="1078">
        <f t="shared" si="5"/>
        <v>0</v>
      </c>
      <c r="AG18" s="1078">
        <f t="shared" si="5"/>
        <v>0</v>
      </c>
      <c r="AH18" s="1078">
        <f t="shared" si="5"/>
        <v>0</v>
      </c>
      <c r="AI18" s="1078">
        <f t="shared" si="5"/>
        <v>0</v>
      </c>
      <c r="AJ18" s="1078">
        <f t="shared" si="5"/>
        <v>181</v>
      </c>
      <c r="AK18" s="1078">
        <f t="shared" si="5"/>
        <v>1639</v>
      </c>
      <c r="AL18" s="1078">
        <f t="shared" si="5"/>
        <v>0</v>
      </c>
      <c r="AM18" s="1078">
        <f t="shared" si="5"/>
        <v>0</v>
      </c>
      <c r="AN18" s="1078">
        <f t="shared" si="5"/>
        <v>0</v>
      </c>
      <c r="AO18" s="1080">
        <f>IF(ISNUMBER(((NºAsuntos!I18/NºAsuntos!G18)*11)/factor_trimestre),((NºAsuntos!I18/NºAsuntos!G18)*11)/factor_trimestre," - ")</f>
        <v>1.6348122866894199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1822</v>
      </c>
      <c r="G19" s="966">
        <f t="shared" si="7"/>
        <v>1833</v>
      </c>
      <c r="H19" s="967">
        <f t="shared" si="7"/>
        <v>0</v>
      </c>
      <c r="I19" s="966">
        <f t="shared" si="7"/>
        <v>0</v>
      </c>
      <c r="J19" s="968">
        <f t="shared" si="7"/>
        <v>0</v>
      </c>
      <c r="K19" s="966">
        <f t="shared" si="7"/>
        <v>0</v>
      </c>
      <c r="L19" s="969">
        <f t="shared" si="7"/>
        <v>0</v>
      </c>
      <c r="M19" s="966">
        <f t="shared" si="7"/>
        <v>0</v>
      </c>
      <c r="N19" s="967">
        <f t="shared" si="7"/>
        <v>373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2352</v>
      </c>
      <c r="Z19" s="973">
        <f t="shared" si="8"/>
        <v>224</v>
      </c>
      <c r="AA19" s="974">
        <f t="shared" si="8"/>
        <v>1936</v>
      </c>
      <c r="AB19" s="974">
        <f t="shared" si="8"/>
        <v>0</v>
      </c>
      <c r="AC19" s="974">
        <f t="shared" si="8"/>
        <v>0</v>
      </c>
      <c r="AD19" s="975">
        <f t="shared" si="8"/>
        <v>0</v>
      </c>
      <c r="AE19" s="975">
        <f t="shared" si="8"/>
        <v>6697</v>
      </c>
      <c r="AF19" s="976">
        <f t="shared" si="8"/>
        <v>0</v>
      </c>
      <c r="AG19" s="977">
        <f t="shared" si="8"/>
        <v>0</v>
      </c>
      <c r="AH19" s="978">
        <f t="shared" si="8"/>
        <v>0</v>
      </c>
      <c r="AI19" s="976">
        <f t="shared" si="8"/>
        <v>0</v>
      </c>
      <c r="AJ19" s="966">
        <f t="shared" si="8"/>
        <v>417</v>
      </c>
      <c r="AK19" s="966">
        <f t="shared" si="8"/>
        <v>2540</v>
      </c>
      <c r="AL19" s="966">
        <f t="shared" si="8"/>
        <v>0</v>
      </c>
      <c r="AM19" s="979">
        <f t="shared" si="8"/>
        <v>0</v>
      </c>
      <c r="AN19" s="969">
        <f>IF(ISNUMBER(Datos!K19/Datos!J19),Datos!K19/Datos!J19," - ")</f>
        <v>0.76571079926784624</v>
      </c>
      <c r="AO19" s="969">
        <f>IF(ISNUMBER(FIND("06",Criterios!A8,1)),(IF(ISNUMBER(((Datos!R19/Datos!Q19)*11)/factor_trimestre),((Datos!R19/Datos!Q19)*11)/factor_trimestre," - ")),(IF(ISNUMBER(((Datos!L19/Datos!K19)*11)/factor_trimestre),((Datos!L19/Datos!K19)*11)/factor_trimestre," - ")))</f>
        <v>4.1949535192563081</v>
      </c>
      <c r="AP19" s="980" t="str">
        <f>IF(ISNUMBER(Datos!CI19/Datos!CJ19),Datos!CI19/Datos!CJ19," - ")</f>
        <v xml:space="preserve"> - </v>
      </c>
      <c r="AQ19" s="980">
        <f>IF(OR(ISNUMBER(FIND("01",Criterios!A8,1)),ISNUMBER(FIND("02",Criterios!A8,1)),ISNUMBER(FIND("03",Criterios!A8,1)),ISNUMBER(FIND("04",Criterios!A8,1))),(J19-Y19+K19)/(F19-K19),(I19-Y19+K19)/(F19-K19))</f>
        <v>-1.2908891328210756</v>
      </c>
      <c r="AR19" s="980">
        <f>IF(ISNUMBER((Datos!P19-Datos!Q19+O19)/(Datos!R19-Datos!P19+Datos!Q19-O19)),(Datos!P19-Datos!Q19+O19)/(Datos!R19-Datos!P19+Datos!Q19-O19)," - ")</f>
        <v>2.2755039706780698E-2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1031.1475807726715</v>
      </c>
      <c r="G21" s="600">
        <f>IF(ISNUMBER(STDEV(G8:G18)),STDEV(G8:G18),"-")</f>
        <v>961.86989764728571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102.76380685825141</v>
      </c>
      <c r="AK21" s="256"/>
      <c r="AL21" s="256">
        <f>IF(ISNUMBER(STDEV(AL8:AL18)),STDEV(AL8:AL18),"-")</f>
        <v>0</v>
      </c>
      <c r="AM21" s="258">
        <f>IF(ISNUMBER(STDEV(AM8:AM18)),STDEV(AM8:AM18),"-")</f>
        <v>0</v>
      </c>
      <c r="AN21" s="586">
        <f>IF(ISNUMBER(STDEV(AN8:AN18)),STDEV(AN8:AN18),"-")</f>
        <v>0</v>
      </c>
      <c r="AO21" s="587">
        <f>IF(ISNUMBER(STDEV(AO8:AO18)),STDEV(AO8:AO18),"-")</f>
        <v>3.3373061357105565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t93eEIsblIsLAUWxCWR9pDAn0Yxvbr6lx+ZZwGqVLw0e6T2rvUUW1GqJnKljxiLZDA1Q/hBII6DSwEDCoHXLw==" saltValue="jSBm27fPWHsUbAzrM5YG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Mez3ZL1kFxcqOTrHG6/qPm6HhzmAmE5xHGit0b9D3l9l2tzHei+OyqlLP/GSmrtaZLb9RzAuR5tvyMizH4MHA==" saltValue="OsRfeCf6cr4u2Q102C0D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mbXIrnmLITDb4iig8B+7P+Zca9Y66Bmvh15eHOIYhHnaKOS/wctldJ+8kPfiSXLxKkfwX+SjfvQAo5JnGmpGQ==" saltValue="m/SzemZpSd23UfBax/vnQ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COSLADA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0.15225806451612903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0.10766270990969369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fOYmwf4rtJbNL8AsO9HMymDx/GmHGVYxOGKdAZyWD3zqiqbKOpYLR4BCW2kyanpJEBYe4XPGSs0wKyrmwKe/Q==" saltValue="zPLuNBlVNIDZHB0IZia8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cFBKLp0itW9BlBOOKonufFARQfQRhoPVvr2ZSM9+dsUjMQxwuur1DR3S55biruQnJmwm8resFe0zFrQtMtOGw==" saltValue="NqGXVuv+6x+lZbo+ZQ11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COSLADA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10</v>
      </c>
      <c r="F10" s="415">
        <f>IF(ISNUMBER(E10/B10),E10/B10," - ")</f>
        <v>10</v>
      </c>
      <c r="G10" s="414">
        <f>IF(ISNUMBER(Datos!K10),Datos!K10," - ")</f>
        <v>8</v>
      </c>
      <c r="H10" s="415">
        <f>IF(ISNUMBER(G10/B10),G10/B10," - ")</f>
        <v>8</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5211</v>
      </c>
      <c r="D12" s="415">
        <f>IF(ISNUMBER(C12/Datos!BH12),C12/Datos!BH12," - ")</f>
        <v>868.5</v>
      </c>
      <c r="E12" s="414">
        <f>IF(ISNUMBER(IF(J_V="SI",Datos!J12,Datos!J12+Datos!Z12)),IF(J_V="SI",Datos!J12,Datos!J12+Datos!Z12)," - ")</f>
        <v>2644</v>
      </c>
      <c r="F12" s="415">
        <f>IF(ISNUMBER(E12/B12),E12/B12," - ")</f>
        <v>440.66666666666669</v>
      </c>
      <c r="G12" s="414">
        <f>IF(ISNUMBER(IF(J_V="SI",Datos!K12,Datos!K12+Datos!AA12)),IF(J_V="SI",Datos!K12,Datos!K12+Datos!AA12)," - ")</f>
        <v>1542</v>
      </c>
      <c r="H12" s="415">
        <f>IF(ISNUMBER(G12/B12),G12/B12," - ")</f>
        <v>257</v>
      </c>
      <c r="I12" s="414">
        <f>IF(ISNUMBER(IF(J_V="SI",Datos!L12,Datos!L12+Datos!AB12)),IF(J_V="SI",Datos!L12,Datos!L12+Datos!AB12)," - ")</f>
        <v>6129</v>
      </c>
      <c r="J12" s="415">
        <f>IF(ISNUMBER(I12/B12),I12/B12," - ")</f>
        <v>1021.5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5229</v>
      </c>
      <c r="D13" s="996" t="str">
        <f>IF(ISNUMBER(C13/Datos!BI13),C13/Datos!BI13," - ")</f>
        <v xml:space="preserve"> - </v>
      </c>
      <c r="E13" s="995">
        <f>SUBTOTAL(9,E8:E12)</f>
        <v>2654</v>
      </c>
      <c r="F13" s="996">
        <f>IF(ISNUMBER(E13/B13),E13/B13," - ")</f>
        <v>379.14285714285717</v>
      </c>
      <c r="G13" s="995">
        <f>SUBTOTAL(9,G8:G12)</f>
        <v>1550</v>
      </c>
      <c r="H13" s="996">
        <f>IF(ISNUMBER(G13/B13),G13/B13," - ")</f>
        <v>221.42857142857142</v>
      </c>
      <c r="I13" s="995">
        <f>SUBTOTAL(9,I8:I12)</f>
        <v>6149</v>
      </c>
      <c r="J13" s="996">
        <f>IF(ISNUMBER(I13/B13),I13/B13," - ")</f>
        <v>878.42857142857144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1758</v>
      </c>
      <c r="D16" s="415">
        <f>IF(ISNUMBER(C16/Datos!BH16),C16/Datos!BH16," - ")</f>
        <v>293</v>
      </c>
      <c r="E16" s="414">
        <f>IF(ISNUMBER(IF(D_I="SI",Datos!J16,Datos!J16+Datos!AD16)),IF(D_I="SI",Datos!J16,Datos!J16+Datos!AD16)," - ")</f>
        <v>2049</v>
      </c>
      <c r="F16" s="415">
        <f>IF(ISNUMBER(E16/B16),E16/B16," - ")</f>
        <v>341.5</v>
      </c>
      <c r="G16" s="414">
        <f>IF(ISNUMBER(IF(D_I="SI",Datos!K16,Datos!K16+Datos!AE16)),IF(D_I="SI",Datos!K16,Datos!K16+Datos!AE16)," - ")</f>
        <v>1993</v>
      </c>
      <c r="H16" s="415">
        <f>IF(ISNUMBER(G16/B16),G16/B16," - ")</f>
        <v>332.16666666666669</v>
      </c>
      <c r="I16" s="414">
        <f>IF(ISNUMBER(IF(D_I="SI",Datos!L16,Datos!L16+Datos!AF16)),IF(D_I="SI",Datos!L16,Datos!L16+Datos!AF16)," - ")</f>
        <v>1860</v>
      </c>
      <c r="J16" s="415">
        <f>IF(ISNUMBER(I16/B16),I16/B16," - ")</f>
        <v>310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57</v>
      </c>
      <c r="D17" s="415">
        <f>IF(ISNUMBER(C17/Datos!BH17),C17/Datos!BH17," - ")</f>
        <v>57</v>
      </c>
      <c r="E17" s="414">
        <f>IF(ISNUMBER(IF(D_I="SI",Datos!J17,Datos!J17+Datos!AD17)),IF(D_I="SI",Datos!J17,Datos!J17+Datos!AD17)," - ")</f>
        <v>350</v>
      </c>
      <c r="F17" s="415">
        <f>IF(ISNUMBER(E17/B17),E17/B17," - ")</f>
        <v>350</v>
      </c>
      <c r="G17" s="414">
        <f>IF(ISNUMBER(IF(D_I="SI",Datos!K17,Datos!K17+Datos!AE17)),IF(D_I="SI",Datos!K17,Datos!K17+Datos!AE17)," - ")</f>
        <v>351</v>
      </c>
      <c r="H17" s="415">
        <f>IF(ISNUMBER(G17/B17),G17/B17," - ")</f>
        <v>351</v>
      </c>
      <c r="I17" s="414">
        <f>IF(ISNUMBER(IF(D_I="SI",Datos!L17,Datos!L17+Datos!AF17)),IF(D_I="SI",Datos!L17,Datos!L17+Datos!AF17)," - ")</f>
        <v>56</v>
      </c>
      <c r="J17" s="415">
        <f>IF(ISNUMBER(I17/B17),I17/B17," - ")</f>
        <v>56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1815</v>
      </c>
      <c r="D18" s="996" t="str">
        <f>IF(ISNUMBER(C18/Datos!BI18),C18/Datos!BI18," - ")</f>
        <v xml:space="preserve"> - </v>
      </c>
      <c r="E18" s="995">
        <f>SUBTOTAL(9,E14:E17)</f>
        <v>2399</v>
      </c>
      <c r="F18" s="996">
        <f>IF(ISNUMBER(E18/B18),E18/B18," - ")</f>
        <v>342.71428571428572</v>
      </c>
      <c r="G18" s="995">
        <f>SUBTOTAL(9,G14:G17)</f>
        <v>2344</v>
      </c>
      <c r="H18" s="996">
        <f>IF(ISNUMBER(G18/B18),G18/B18," - ")</f>
        <v>334.85714285714283</v>
      </c>
      <c r="I18" s="995">
        <f>SUBTOTAL(9,I14:I17)</f>
        <v>1916</v>
      </c>
      <c r="J18" s="996">
        <f>IF(ISNUMBER(I18/B18),I18/B18," - ")</f>
        <v>273.71428571428572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7044</v>
      </c>
      <c r="D19" s="941" t="str">
        <f>IF(ISNUMBER(C19/Datos!BI19),C19/Datos!BI19," - ")</f>
        <v xml:space="preserve"> - </v>
      </c>
      <c r="E19" s="940">
        <f>SUBTOTAL(9,E9:E18)</f>
        <v>5053</v>
      </c>
      <c r="F19" s="941">
        <f>IF(ISNUMBER(E19/B19),E19/B19," - ")</f>
        <v>721.85714285714289</v>
      </c>
      <c r="G19" s="940">
        <f>SUBTOTAL(9,G9:G18)</f>
        <v>3894</v>
      </c>
      <c r="H19" s="941">
        <f>IF(ISNUMBER(G19/B19),G19/B19," - ")</f>
        <v>556.28571428571433</v>
      </c>
      <c r="I19" s="940">
        <f>SUBTOTAL(9,I9:I18)</f>
        <v>8065</v>
      </c>
      <c r="J19" s="941">
        <f>IF(ISNUMBER(I19/B19),I19/B19," - ")</f>
        <v>1152.1428571428571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uNUf4LXpH0eKoRtkdhBcPWqa9qKWesdlW6zJkbDTV/TA2s+I/tAKJr6r9u4T/UN7fmzpsa3M6rEyG6H7mJgdg==" saltValue="mYOl02KsprjjJ89nGnZd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COSLADA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6344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229</v>
      </c>
      <c r="AM12" s="810">
        <f>IF(ISNUMBER(Datos!N12+DatosP!N16),Datos!N12+DatosP!N16," - ")</f>
        <v>883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7.9494163424124515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2.6869537067011978E-2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339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170</v>
      </c>
      <c r="AE13" s="1085">
        <f t="shared" si="1"/>
        <v>0</v>
      </c>
      <c r="AF13" s="1085">
        <f t="shared" si="1"/>
        <v>20</v>
      </c>
      <c r="AG13" s="1085">
        <f t="shared" si="1"/>
        <v>0</v>
      </c>
      <c r="AH13" s="1085">
        <f t="shared" si="1"/>
        <v>6344</v>
      </c>
      <c r="AI13" s="1085">
        <f t="shared" si="1"/>
        <v>0</v>
      </c>
      <c r="AJ13" s="1085">
        <f t="shared" si="1"/>
        <v>0</v>
      </c>
      <c r="AK13" s="1085">
        <f t="shared" si="1"/>
        <v>0</v>
      </c>
      <c r="AL13" s="1085">
        <f t="shared" si="1"/>
        <v>236</v>
      </c>
      <c r="AM13" s="1085">
        <f t="shared" si="1"/>
        <v>901</v>
      </c>
      <c r="AN13" s="1085">
        <f t="shared" si="1"/>
        <v>0</v>
      </c>
      <c r="AO13" s="1085">
        <f t="shared" si="1"/>
        <v>0</v>
      </c>
      <c r="AP13" s="1090">
        <f>IF(ISNUMBER(((Datos!L13/Datos!K13)*11)/factor_trimestre),((Datos!L13/Datos!K13)*11)/factor_trimestre," - ")</f>
        <v>8.4180154820548907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2.6869537067011978E-2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1.6348122866894199</v>
      </c>
      <c r="AQ18" s="1090">
        <f>IF(ISNUMBER(((Datos!M18/Datos!L18)*11)/factor_trimestre),((Datos!M18/Datos!L18)*11)/factor_trimestre," - ")</f>
        <v>0.18893528183716074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-9.4936708860759497E-3</v>
      </c>
      <c r="AW18" s="1092">
        <f>IF(ISNUMBER((Datos!Q18-Datos!R18)/(Datos!S18-Datos!Q18+Datos!R18)),(Datos!Q18-Datos!R18)/(Datos!S18-Datos!Q18+Datos!R18)," - ")</f>
        <v>-0.15762421473443747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339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170</v>
      </c>
      <c r="AE19" s="1103">
        <f t="shared" si="5"/>
        <v>0</v>
      </c>
      <c r="AF19" s="1104">
        <f t="shared" si="5"/>
        <v>20</v>
      </c>
      <c r="AG19" s="1104">
        <f t="shared" si="5"/>
        <v>0</v>
      </c>
      <c r="AH19" s="1104">
        <f t="shared" si="5"/>
        <v>6344</v>
      </c>
      <c r="AI19" s="1104">
        <f t="shared" si="5"/>
        <v>0</v>
      </c>
      <c r="AJ19" s="1105">
        <f t="shared" si="5"/>
        <v>0</v>
      </c>
      <c r="AK19" s="1105">
        <f t="shared" si="5"/>
        <v>0</v>
      </c>
      <c r="AL19" s="1097">
        <f t="shared" si="5"/>
        <v>236</v>
      </c>
      <c r="AM19" s="1097">
        <f t="shared" si="5"/>
        <v>901</v>
      </c>
      <c r="AN19" s="1097">
        <f t="shared" si="5"/>
        <v>0</v>
      </c>
      <c r="AO19" s="1097">
        <f t="shared" si="5"/>
        <v>0</v>
      </c>
      <c r="AP19" s="1097">
        <f>IF(ISNUMBER(((Datos!L19/Datos!K19)*11)/factor_trimestre),((Datos!L19/Datos!K19)*11)/factor_trimestre," - ")</f>
        <v>4.1949535192563081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2.2755039706780698E-2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132.2749661374618</v>
      </c>
      <c r="AM21" s="869"/>
      <c r="AN21" s="869">
        <f>IF(ISNUMBER(STDEV(AN8:AN18)),STDEV(AN8:AN18),"-")</f>
        <v>0</v>
      </c>
      <c r="AO21" s="875">
        <f>IF(ISNUMBER(STDEV(AO8:AO18)),STDEV(AO8:AO18),"-")</f>
        <v>0</v>
      </c>
      <c r="AP21" s="922">
        <f>IF(ISNUMBER(STDEV(AP8:AP18)),STDEV(AP8:AP18),"-")</f>
        <v>3.1333160026043316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wQZ4Fu5AsAKAZNiNpAQ8ag4jWjIpR/XpeVEsVMAcqeAYEwr9k+SgJ99mcq4mlH/yYSF14+5hTZGE7FAQaWvIg==" saltValue="OW9O6FJ79euQCxrYqa0A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COSLADA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iCizwooQQ+JDygL/qCc26CmSViSxmfs8MkJgunx5es8hRytVkbAVGFOUqDf4+5JQrrRLH0IZXWMgrK3wDuNEw==" saltValue="fJqHN+BeBwvGA6WFtKc5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COSLADA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18</v>
      </c>
      <c r="G10" s="415">
        <f>IF(ISNUMBER(F10/B10),F10/B10," - ")</f>
        <v>18</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229</v>
      </c>
      <c r="E12" s="415">
        <f t="shared" si="0"/>
        <v>38.166666666666664</v>
      </c>
      <c r="F12" s="414">
        <f>IF(ISNUMBER(Datos!N12),Datos!N12," - ")</f>
        <v>883</v>
      </c>
      <c r="G12" s="415">
        <f t="shared" si="1"/>
        <v>147.16666666666666</v>
      </c>
      <c r="H12" s="414">
        <f>IF(ISNUMBER(Datos!O12),Datos!O12," - ")</f>
        <v>455</v>
      </c>
      <c r="I12" s="415">
        <f t="shared" si="2"/>
        <v>75.833333333333329</v>
      </c>
    </row>
    <row r="13" spans="1:9" ht="14.25" thickTop="1" thickBot="1">
      <c r="A13" s="994" t="str">
        <f>Datos!A13</f>
        <v>TOTAL</v>
      </c>
      <c r="B13" s="995">
        <f>Datos!AO13</f>
        <v>7</v>
      </c>
      <c r="C13" s="997">
        <f>Datos!AR13</f>
        <v>7</v>
      </c>
      <c r="D13" s="995">
        <f>SUBTOTAL(9,D9:D12)</f>
        <v>236</v>
      </c>
      <c r="E13" s="996">
        <f t="shared" si="0"/>
        <v>33.714285714285715</v>
      </c>
      <c r="F13" s="995">
        <f>SUBTOTAL(9,F9:F12)</f>
        <v>901</v>
      </c>
      <c r="G13" s="996">
        <f t="shared" si="1"/>
        <v>128.71428571428572</v>
      </c>
      <c r="H13" s="995">
        <f>SUBTOTAL(9,H9:H12)</f>
        <v>455</v>
      </c>
      <c r="I13" s="996">
        <f>IF(ISNUMBER(H13/B13),H13/B13," - ")</f>
        <v>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166</v>
      </c>
      <c r="E16" s="415">
        <f t="shared" si="3"/>
        <v>27.666666666666668</v>
      </c>
      <c r="F16" s="414">
        <f>IF(ISNUMBER(Datos!N16),Datos!N16," - ")</f>
        <v>1350</v>
      </c>
      <c r="G16" s="415">
        <f t="shared" si="4"/>
        <v>225</v>
      </c>
      <c r="H16" s="414">
        <f>IF(ISNUMBER(Datos!O16),Datos!O16," - ")</f>
        <v>7</v>
      </c>
      <c r="I16" s="415">
        <f t="shared" si="5"/>
        <v>1.1666666666666667</v>
      </c>
    </row>
    <row r="17" spans="1:9" ht="13.5" thickBot="1">
      <c r="A17" s="413" t="str">
        <f>Datos!A17</f>
        <v>Jdos. Violencia contra la mujer</v>
      </c>
      <c r="B17" s="443">
        <f>Datos!AO17</f>
        <v>1</v>
      </c>
      <c r="C17" s="444">
        <f>Datos!AQ17</f>
        <v>1</v>
      </c>
      <c r="D17" s="414">
        <f>IF(ISNUMBER(Datos!M17),Datos!M17," - ")</f>
        <v>15</v>
      </c>
      <c r="E17" s="415">
        <f>IF(ISNUMBER(D17/B17),D17/B17," - ")</f>
        <v>15</v>
      </c>
      <c r="F17" s="414">
        <f>IF(ISNUMBER(Datos!N17),Datos!N17," - ")</f>
        <v>289</v>
      </c>
      <c r="G17" s="415">
        <f>IF(ISNUMBER(F17/B17),F17/B17," - ")</f>
        <v>289</v>
      </c>
      <c r="H17" s="414">
        <f>IF(ISNUMBER(Datos!O17),Datos!O17," - ")</f>
        <v>0</v>
      </c>
      <c r="I17" s="415">
        <f t="shared" si="5"/>
        <v>0</v>
      </c>
    </row>
    <row r="18" spans="1:9" ht="14.25" thickTop="1" thickBot="1">
      <c r="A18" s="994" t="str">
        <f>Datos!A18</f>
        <v>TOTAL</v>
      </c>
      <c r="B18" s="995">
        <f>Datos!AO18</f>
        <v>7</v>
      </c>
      <c r="C18" s="997">
        <f>Datos!AR18</f>
        <v>7</v>
      </c>
      <c r="D18" s="995">
        <f>SUBTOTAL(9,D15:D17)</f>
        <v>181</v>
      </c>
      <c r="E18" s="996">
        <f t="shared" si="3"/>
        <v>25.857142857142858</v>
      </c>
      <c r="F18" s="995">
        <f>SUBTOTAL(9,F15:F17)</f>
        <v>1639</v>
      </c>
      <c r="G18" s="996">
        <f t="shared" si="4"/>
        <v>234.14285714285714</v>
      </c>
      <c r="H18" s="995">
        <f>SUBTOTAL(9,H15:H17)</f>
        <v>7</v>
      </c>
      <c r="I18" s="996">
        <f>IF(ISNUMBER(H18/B18),H18/B18," - ")</f>
        <v>1</v>
      </c>
    </row>
    <row r="19" spans="1:9" ht="14.25" thickTop="1" thickBot="1">
      <c r="A19" s="939" t="str">
        <f>Datos!A19</f>
        <v>TOTAL JURISDICCIONES</v>
      </c>
      <c r="B19" s="940">
        <f>Datos!AP19</f>
        <v>7</v>
      </c>
      <c r="C19" s="940">
        <f>Datos!AR19</f>
        <v>7</v>
      </c>
      <c r="D19" s="940">
        <f>SUBTOTAL(9,D8:D18)</f>
        <v>417</v>
      </c>
      <c r="E19" s="941">
        <f>IF(ISNUMBER(D19/B19),D19/B19," - ")</f>
        <v>59.571428571428569</v>
      </c>
      <c r="F19" s="940">
        <f>SUBTOTAL(9,F8:F18)</f>
        <v>2540</v>
      </c>
      <c r="G19" s="941">
        <f>IF(ISNUMBER(F19/B19),F19/B19," - ")</f>
        <v>362.85714285714283</v>
      </c>
      <c r="H19" s="940">
        <f>SUBTOTAL(9,H8:H18)</f>
        <v>462</v>
      </c>
      <c r="I19" s="941">
        <f>IF(ISNUMBER(H19/B19),H19/B19," - ")</f>
        <v>66</v>
      </c>
    </row>
    <row r="22" spans="1:9">
      <c r="A22" s="402" t="str">
        <f>Criterios!A4</f>
        <v>Fecha Informe: 29 nov. 2023</v>
      </c>
    </row>
    <row r="27" spans="1:9">
      <c r="A27" s="425"/>
    </row>
  </sheetData>
  <sheetProtection algorithmName="SHA-512" hashValue="J8HDcgiB+q87DZR0ZGmVBzzbPaNpITWG4uCNgx2e7epLy6B1WsZ9/3n9ZMw689Wu+cFIpVLsag+/VHIy4ZV5Ew==" saltValue="B3Q7/3fvrCepstm7lDk7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COSLADA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17</v>
      </c>
      <c r="D10" s="419">
        <f>IF(ISNUMBER(Datos!R10),Datos!R10," - ")</f>
        <v>40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336</v>
      </c>
      <c r="C12" s="450">
        <f>IF(ISNUMBER(Datos!Q12),Datos!Q12," - ")</f>
        <v>170</v>
      </c>
      <c r="D12" s="419">
        <f>IF(ISNUMBER(Datos!R12),Datos!R12," - ")</f>
        <v>6344</v>
      </c>
    </row>
    <row r="13" spans="1:4" ht="14.25" thickTop="1" thickBot="1">
      <c r="A13" s="994" t="str">
        <f>Datos!A13</f>
        <v>TOTAL</v>
      </c>
      <c r="B13" s="995">
        <f>SUBTOTAL(9,B9:B12)</f>
        <v>339</v>
      </c>
      <c r="C13" s="999">
        <f>SUBTOTAL(9,C9:C12)</f>
        <v>187</v>
      </c>
      <c r="D13" s="997">
        <f>SUBTOTAL(9,D9:D12)</f>
        <v>6384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34</v>
      </c>
      <c r="C16" s="450">
        <f>IF(ISNUMBER(Datos!Q16),Datos!Q16," - ")</f>
        <v>37</v>
      </c>
      <c r="D16" s="419">
        <f>IF(ISNUMBER(Datos!R16),Datos!R16," - ")</f>
        <v>313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34</v>
      </c>
      <c r="C18" s="999">
        <f>SUBTOTAL(9,C15:C17)</f>
        <v>37</v>
      </c>
      <c r="D18" s="997">
        <f>SUBTOTAL(9,D15:D17)</f>
        <v>313</v>
      </c>
    </row>
    <row r="19" spans="1:4" ht="16.5" customHeight="1" thickTop="1" thickBot="1">
      <c r="A19" s="939" t="str">
        <f>Datos!A19</f>
        <v>TOTAL JURISDICCIONES</v>
      </c>
      <c r="B19" s="944">
        <f>SUBTOTAL(9,B8:B18)</f>
        <v>373</v>
      </c>
      <c r="C19" s="945">
        <f>SUBTOTAL(9,C8:C18)</f>
        <v>224</v>
      </c>
      <c r="D19" s="946">
        <f>SUBTOTAL(9,D8:D18)</f>
        <v>6697</v>
      </c>
    </row>
    <row r="20" spans="1:4" ht="7.5" customHeight="1"/>
    <row r="21" spans="1:4" ht="6" customHeight="1"/>
    <row r="22" spans="1:4">
      <c r="A22" s="402" t="str">
        <f>Criterios!A4</f>
        <v>Fecha Informe: 29 nov. 2023</v>
      </c>
    </row>
    <row r="27" spans="1:4">
      <c r="A27" s="425"/>
    </row>
  </sheetData>
  <sheetProtection algorithmName="SHA-512" hashValue="CEIked5eEwA2GANzeLYgtPfRE7uFI13Nn3kYNhbRkQw/FY7c3RESeWWUmM0C4j8KAtNt/UiNQwV1YzxdU0iR5Q==" saltValue="omYwUffb/EeIVcxkJYUk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COSLADA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-0.5</v>
      </c>
      <c r="D10" s="472">
        <f>IF(ISNUMBER((Datos!K10-Datos!U10)/Datos!U10),(Datos!K10-Datos!U10)/Datos!U10," - ")</f>
        <v>-0.55555555555555558</v>
      </c>
      <c r="E10" s="472">
        <f>IF(ISNUMBER((Datos!L10-Datos!V10)/Datos!V10),(Datos!L10-Datos!V10)/Datos!V10," - ")</f>
        <v>-0.23076923076923078</v>
      </c>
      <c r="F10" s="472">
        <f>IF(ISNUMBER((Datos!M10-Datos!W10)/Datos!W10),(Datos!M10-Datos!W10)/Datos!W10," - ")</f>
        <v>0.4</v>
      </c>
      <c r="G10" s="473">
        <f>IF(ISNUMBER((Datos!N10-Datos!X10)/Datos!X10),(Datos!N10-Datos!X10)/Datos!X10," - ")</f>
        <v>0.2857142857142857</v>
      </c>
      <c r="H10" s="471">
        <f>IF(ISNUMBER(((NºAsuntos!G10/NºAsuntos!E10)-Datos!BD10)/Datos!BD10),((NºAsuntos!G10/NºAsuntos!E10)-Datos!BD10)/Datos!BD10," - ")</f>
        <v>-0.11111111111111108</v>
      </c>
      <c r="I10" s="472">
        <f>IF(ISNUMBER(((NºAsuntos!I10/NºAsuntos!G10)-Datos!BE10)/Datos!BE10),((NºAsuntos!I10/NºAsuntos!G10)-Datos!BE10)/Datos!BE10," - ")</f>
        <v>0.73076923076923084</v>
      </c>
      <c r="J10" s="477">
        <f>IF(ISNUMBER((('Resol  Asuntos'!D10/NºAsuntos!G10)-Datos!BF10)/Datos!BF10),(('Resol  Asuntos'!D10/NºAsuntos!G10)-Datos!BF10)/Datos!BF10," - ")</f>
        <v>2.15</v>
      </c>
      <c r="K10" s="478">
        <f>IF(ISNUMBER((((NºAsuntos!C10+NºAsuntos!E10)/NºAsuntos!G10)-Datos!BG10)/Datos!BG10),(((NºAsuntos!C10+NºAsuntos!E10)/NºAsuntos!G10)-Datos!BG10)/Datos!BG10," - ")</f>
        <v>0.43181818181818171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0.34965034965034963</v>
      </c>
      <c r="C12" s="472">
        <f>IF(ISNUMBER(
   IF(J_V="SI",(Datos!J12-Datos!T12)/Datos!T12,(Datos!J12+Datos!Z12-(Datos!T12+Datos!AH12))/(Datos!T12+Datos!AH12))
     ),IF(J_V="SI",(Datos!J12-Datos!T12)/Datos!T12,(Datos!J12+Datos!Z12-(Datos!T12+Datos!AH12))/(Datos!T12+Datos!AH12))," - ")</f>
        <v>0.71911573472041612</v>
      </c>
      <c r="D12" s="472">
        <f>IF(ISNUMBER(
   IF(J_V="SI",(Datos!K12-Datos!U12)/Datos!U12,(Datos!K12+Datos!AA12-(Datos!U12+Datos!AI12))/(Datos!U12+Datos!AI12))
     ),IF(J_V="SI",(Datos!K12-Datos!U12)/Datos!U12,(Datos!K12+Datos!AA12-(Datos!U12+Datos!AI12))/(Datos!U12+Datos!AI12))," - ")</f>
        <v>0.29907329401853411</v>
      </c>
      <c r="E12" s="472">
        <f>IF(ISNUMBER(
   IF(J_V="SI",(Datos!L12-Datos!V12)/Datos!V12,(Datos!L12+Datos!AB12-(Datos!V12+Datos!AJ12))/(Datos!V12+Datos!AJ12))
     ),IF(J_V="SI",(Datos!L12-Datos!V12)/Datos!V12,(Datos!L12+Datos!AB12-(Datos!V12+Datos!AJ12))/(Datos!V12+Datos!AJ12))," - ")</f>
        <v>0.44790928419560594</v>
      </c>
      <c r="F12" s="472">
        <f>IF(ISNUMBER((Datos!M12-Datos!W12)/Datos!W12),(Datos!M12-Datos!W12)/Datos!W12," - ")</f>
        <v>0.30857142857142855</v>
      </c>
      <c r="G12" s="473">
        <f>IF(ISNUMBER((Datos!N12-Datos!X12)/Datos!X12),(Datos!N12-Datos!X12)/Datos!X12," - ")</f>
        <v>0.34398782343987822</v>
      </c>
      <c r="H12" s="471">
        <f>IF(ISNUMBER(((NºAsuntos!G12/NºAsuntos!E12)-Datos!BD12)/Datos!BD12),((NºAsuntos!G12/NºAsuntos!E12)-Datos!BD12)/Datos!BD12," - ")</f>
        <v>-0.24433633653536102</v>
      </c>
      <c r="I12" s="472">
        <f>IF(ISNUMBER(((NºAsuntos!I12/NºAsuntos!G12)-Datos!BE12)/Datos!BE12),((NºAsuntos!I12/NºAsuntos!G12)-Datos!BE12)/Datos!BE12," - ")</f>
        <v>0.11457089516224657</v>
      </c>
      <c r="J12" s="477">
        <f>IF(ISNUMBER((('Resol  Asuntos'!D12/NºAsuntos!G12)-Datos!BF12)/Datos!BF12),(('Resol  Asuntos'!D12/NºAsuntos!G12)-Datos!BF12)/Datos!BF12," - ")</f>
        <v>-0.73169024789407489</v>
      </c>
      <c r="K12" s="478">
        <f>IF(ISNUMBER((((NºAsuntos!C12+NºAsuntos!E12)/NºAsuntos!G12)-Datos!BG12)/Datos!BG12),(((NºAsuntos!C12+NºAsuntos!E12)/NºAsuntos!G12)-Datos!BG12)/Datos!BG12," - ")</f>
        <v>0.11995147778002792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0.34594594594594597</v>
      </c>
      <c r="C13" s="1001">
        <f>IF(ISNUMBER(
   IF(J_V="SI",(Datos!J13-Datos!T13)/Datos!T13,(Datos!J13+Datos!Z13-(Datos!T13+Datos!AH13))/(Datos!T13+Datos!AH13))
     ),IF(J_V="SI",(Datos!J13-Datos!T13)/Datos!T13,(Datos!J13+Datos!Z13-(Datos!T13+Datos!AH13))/(Datos!T13+Datos!AH13))," - ")</f>
        <v>0.70346598202824129</v>
      </c>
      <c r="D13" s="1001">
        <f>IF(ISNUMBER(
   IF(J_V="SI",(Datos!K13-Datos!U13)/Datos!U13,(Datos!K13+Datos!AA13-(Datos!U13+Datos!AI13))/(Datos!U13+Datos!AI13))
     ),IF(J_V="SI",(Datos!K13-Datos!U13)/Datos!U13,(Datos!K13+Datos!AA13-(Datos!U13+Datos!AI13))/(Datos!U13+Datos!AI13))," - ")</f>
        <v>0.2863070539419087</v>
      </c>
      <c r="E13" s="1001">
        <f>IF(ISNUMBER(
   IF(J_V="SI",(Datos!L13-Datos!V13)/Datos!V13,(Datos!L13+Datos!AB13-(Datos!V13+Datos!AJ13))/(Datos!V13+Datos!AJ13))
     ),IF(J_V="SI",(Datos!L13-Datos!V13)/Datos!V13,(Datos!L13+Datos!AB13-(Datos!V13+Datos!AJ13))/(Datos!V13+Datos!AJ13))," - ")</f>
        <v>0.44376614228692179</v>
      </c>
      <c r="F13" s="1002">
        <f>IF(ISNUMBER((Datos!M13-Datos!W13)/Datos!W13),(Datos!M13-Datos!W13)/Datos!W13," - ")</f>
        <v>0.31111111111111112</v>
      </c>
      <c r="G13" s="1003">
        <f>IF(ISNUMBER((Datos!N13-Datos!X13)/Datos!X13),(Datos!N13-Datos!X13)/Datos!X13," - ")</f>
        <v>0.34277198211624443</v>
      </c>
      <c r="H13" s="1003">
        <f>IF(ISNUMBER(((NºAsuntos!G13/NºAsuntos!E13)-Datos!BD13)/Datos!BD13),((NºAsuntos!G13/NºAsuntos!E13)-Datos!BD13)/Datos!BD13," - ")</f>
        <v>-0.24488832326997215</v>
      </c>
      <c r="I13" s="1003">
        <f>IF(ISNUMBER(((NºAsuntos!I13/NºAsuntos!G13)-Datos!BE13)/Datos!BE13),((NºAsuntos!I13/NºAsuntos!G13)-Datos!BE13)/Datos!BE13," - ")</f>
        <v>0.12241174287467156</v>
      </c>
      <c r="J13" s="1003">
        <f>IF(ISNUMBER((('Resol  Asuntos'!D13/NºAsuntos!G13)-Datos!BF13)/Datos!BF13),(('Resol  Asuntos'!D13/NºAsuntos!G13)-Datos!BF13)/Datos!BF13," - ")</f>
        <v>-0.72285352304843586</v>
      </c>
      <c r="K13" s="1003">
        <f>IF(ISNUMBER((((NºAsuntos!C13+NºAsuntos!E13)/NºAsuntos!G13)-Datos!BG13)/Datos!BG13),(((NºAsuntos!C13+NºAsuntos!E13)/NºAsuntos!G13)-Datos!BG13)/Datos!BG13," - ")</f>
        <v>0.12592261146308076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0.22423398328690808</v>
      </c>
      <c r="C16" s="472">
        <f>IF(ISNUMBER(
   IF(D_I="SI",(Datos!J16-Datos!T16)/Datos!T16,(Datos!J16+Datos!AD16-(Datos!T16+Datos!AL16))/(Datos!T16+Datos!AL16))
     ),IF(D_I="SI",(Datos!J16-Datos!T16)/Datos!T16,(Datos!J16+Datos!AD16-(Datos!T16+Datos!AL16))/(Datos!T16+Datos!AL16))," - ")</f>
        <v>5.1848049281314167E-2</v>
      </c>
      <c r="D16" s="472">
        <f>IF(ISNUMBER(
   IF(D_I="SI",(Datos!K16-Datos!U16)/Datos!U16,(Datos!K16+Datos!AE16-(Datos!U16+Datos!AM16))/(Datos!U16+Datos!AM16))
     ),IF(D_I="SI",(Datos!K16-Datos!U16)/Datos!U16,(Datos!K16+Datos!AE16-(Datos!U16+Datos!AM16))/(Datos!U16+Datos!AM16))," - ")</f>
        <v>0.14804147465437789</v>
      </c>
      <c r="E16" s="472">
        <f>IF(ISNUMBER(
   IF(D_I="SI",(Datos!L16-Datos!V16)/Datos!V16,(Datos!L16+Datos!AF16-(Datos!V16+Datos!AN16))/(Datos!V16+Datos!AN16))
     ),IF(D_I="SI",(Datos!L16-Datos!V16)/Datos!V16,(Datos!L16+Datos!AF16-(Datos!V16+Datos!AN16))/(Datos!V16+Datos!AN16))," - ")</f>
        <v>0.11177525403466826</v>
      </c>
      <c r="F16" s="472">
        <f>IF(ISNUMBER((Datos!M16-Datos!W16)/Datos!W16),(Datos!M16-Datos!W16)/Datos!W16," - ")</f>
        <v>0.19424460431654678</v>
      </c>
      <c r="G16" s="473">
        <f>IF(ISNUMBER((Datos!N16-Datos!X16)/Datos!X16),(Datos!N16-Datos!X16)/Datos!X16," - ")</f>
        <v>0.16883116883116883</v>
      </c>
      <c r="H16" s="471">
        <f>IF(ISNUMBER(((NºAsuntos!G16/NºAsuntos!E16)-Datos!BD16)/Datos!BD16),((NºAsuntos!G16/NºAsuntos!E16)-Datos!BD16)/Datos!BD16," - ")</f>
        <v>9.1451826562580829E-2</v>
      </c>
      <c r="I16" s="472">
        <f>IF(ISNUMBER(((NºAsuntos!I16/NºAsuntos!G16)-Datos!BE16)/Datos!BE16),((NºAsuntos!I16/NºAsuntos!G16)-Datos!BE16)/Datos!BE16," - ")</f>
        <v>-3.15896432492805E-2</v>
      </c>
      <c r="J16" s="477">
        <f>IF(ISNUMBER((('Resol  Asuntos'!D16/NºAsuntos!G16)-Datos!BF16)/Datos!BF16),(('Resol  Asuntos'!D16/NºAsuntos!G16)-Datos!BF16)/Datos!BF16," - ")</f>
        <v>4.0245174658065729E-2</v>
      </c>
      <c r="K16" s="478">
        <f>IF(ISNUMBER((((NºAsuntos!C16+NºAsuntos!E16)/NºAsuntos!G16)-Datos!BG16)/Datos!BG16),(((NºAsuntos!C16+NºAsuntos!E16)/NºAsuntos!G16)-Datos!BG16)/Datos!BG16," - ")</f>
        <v>-2.0070245860511815E-2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0.46153846153846156</v>
      </c>
      <c r="C17" s="472">
        <f>IF(ISNUMBER(
   IF(D_I="SI",(Datos!J17-Datos!T17)/Datos!T17,(Datos!J17+Datos!AD17-(Datos!T17+Datos!AL17))/(Datos!T17+Datos!AL17))
     ),IF(D_I="SI",(Datos!J17-Datos!T17)/Datos!T17,(Datos!J17+Datos!AD17-(Datos!T17+Datos!AL17))/(Datos!T17+Datos!AL17))," - ")</f>
        <v>0.22377622377622378</v>
      </c>
      <c r="D17" s="472">
        <f>IF(ISNUMBER(
   IF(D_I="SI",(Datos!K17-Datos!U17)/Datos!U17,(Datos!K17+Datos!AE17-(Datos!U17+Datos!AM17))/(Datos!U17+Datos!AM17))
     ),IF(D_I="SI",(Datos!K17-Datos!U17)/Datos!U17,(Datos!K17+Datos!AE17-(Datos!U17+Datos!AM17))/(Datos!U17+Datos!AM17))," - ")</f>
        <v>0.28102189781021897</v>
      </c>
      <c r="E17" s="472">
        <f>IF(ISNUMBER(
   IF(D_I="SI",(Datos!L17-Datos!V17)/Datos!V17,(Datos!L17+Datos!AF17-(Datos!V17+Datos!AN17))/(Datos!V17+Datos!AN17))
     ),IF(D_I="SI",(Datos!L17-Datos!V17)/Datos!V17,(Datos!L17+Datos!AF17-(Datos!V17+Datos!AN17))/(Datos!V17+Datos!AN17))," - ")</f>
        <v>9.8039215686274508E-2</v>
      </c>
      <c r="F17" s="472">
        <f>IF(ISNUMBER((Datos!M17-Datos!W17)/Datos!W17),(Datos!M17-Datos!W17)/Datos!W17," - ")</f>
        <v>-0.11764705882352941</v>
      </c>
      <c r="G17" s="473">
        <f>IF(ISNUMBER((Datos!N17-Datos!X17)/Datos!X17),(Datos!N17-Datos!X17)/Datos!X17," - ")</f>
        <v>0.45226130653266333</v>
      </c>
      <c r="H17" s="471">
        <f>IF(ISNUMBER(((NºAsuntos!G17/NºAsuntos!E17)-Datos!BD17)/Datos!BD17),((NºAsuntos!G17/NºAsuntos!E17)-Datos!BD17)/Datos!BD17," - ")</f>
        <v>4.677789363920757E-2</v>
      </c>
      <c r="I17" s="472">
        <f>IF(ISNUMBER(((NºAsuntos!I17/NºAsuntos!G17)-Datos!BE17)/Datos!BE17),((NºAsuntos!I17/NºAsuntos!G17)-Datos!BE17)/Datos!BE17," - ")</f>
        <v>-0.14284118205686833</v>
      </c>
      <c r="J17" s="477">
        <f>IF(ISNUMBER((('Resol  Asuntos'!D17/NºAsuntos!G17)-Datos!BF17)/Datos!BF17),(('Resol  Asuntos'!D17/NºAsuntos!G17)-Datos!BF17)/Datos!BF17," - ")</f>
        <v>-0.31121166415284063</v>
      </c>
      <c r="K17" s="478">
        <f>IF(ISNUMBER((((NºAsuntos!C17+NºAsuntos!E17)/NºAsuntos!G17)-Datos!BG17)/Datos!BG17),(((NºAsuntos!C17+NºAsuntos!E17)/NºAsuntos!G17)-Datos!BG17)/Datos!BG17," - ")</f>
        <v>-2.2415077799693206E-2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0.23050847457627119</v>
      </c>
      <c r="C18" s="1001">
        <f>IF(ISNUMBER(
   IF(Criterios!B14="SI",(Datos!J18-Datos!T18)/Datos!T18,(Datos!J18+Datos!AD18-(Datos!T18+Datos!AL18))/(Datos!T18+Datos!AL18))
     ),IF(Criterios!B14="SI",(Datos!J18-Datos!T18)/Datos!T18,(Datos!J18+Datos!AD18-(Datos!T18+Datos!AL18))/(Datos!T18+Datos!AL18))," - ")</f>
        <v>7.3858549686660696E-2</v>
      </c>
      <c r="D18" s="1001">
        <f>IF(ISNUMBER(
   IF(Criterios!B14="SI",(Datos!K18-Datos!U18)/Datos!U18,(Datos!K18+Datos!AE18-(Datos!U18+Datos!AM18))/(Datos!U18+Datos!AM18))
     ),IF(Criterios!B14="SI",(Datos!K18-Datos!U18)/Datos!U18,(Datos!K18+Datos!AE18-(Datos!U18+Datos!AM18))/(Datos!U18+Datos!AM18))," - ")</f>
        <v>0.16616915422885573</v>
      </c>
      <c r="E18" s="1001">
        <f>IF(ISNUMBER(
   IF(Criterios!B14="SI",(Datos!L18-Datos!V18)/Datos!V18,(Datos!L18+Datos!AF18-(Datos!V18+Datos!AN18))/(Datos!V18+Datos!AN18))
     ),IF(Criterios!B14="SI",(Datos!L18-Datos!V18)/Datos!V18,(Datos!L18+Datos!AF18-(Datos!V18+Datos!AN18))/(Datos!V18+Datos!AN18))," - ")</f>
        <v>0.11136890951276102</v>
      </c>
      <c r="F18" s="1002">
        <f>IF(ISNUMBER((Datos!M18-Datos!W18)/Datos!W18),(Datos!M18-Datos!W18)/Datos!W18," - ")</f>
        <v>0.16025641025641027</v>
      </c>
      <c r="G18" s="1003">
        <f>IF(ISNUMBER((Datos!N18-Datos!X18)/Datos!X18),(Datos!N18-Datos!X18)/Datos!X18," - ")</f>
        <v>0.21048744460856722</v>
      </c>
      <c r="H18" s="1003">
        <f>IF(ISNUMBER(((NºAsuntos!G18/NºAsuntos!E18)-Datos!BD18)/Datos!BD18),((NºAsuntos!G18/NºAsuntos!E18)-Datos!BD18)/Datos!BD18," - ")</f>
        <v>8.5961605063469587E-2</v>
      </c>
      <c r="I18" s="1003">
        <f>IF(ISNUMBER(((NºAsuntos!I18/NºAsuntos!G18)-Datos!BE18)/Datos!BE18),((NºAsuntos!I18/NºAsuntos!G18)-Datos!BE18)/Datos!BE18," - ")</f>
        <v>-4.6991677422931151E-2</v>
      </c>
      <c r="J18" s="1003">
        <f>IF(ISNUMBER((('Resol  Asuntos'!D18/NºAsuntos!G18)-Datos!BF18)/Datos!BF18),(('Resol  Asuntos'!D18/NºAsuntos!G18)-Datos!BF18)/Datos!BF18," - ")</f>
        <v>-5.0702284064058746E-3</v>
      </c>
      <c r="K18" s="1003">
        <f>IF(ISNUMBER((((NºAsuntos!C18+NºAsuntos!E18)/NºAsuntos!G18)-Datos!BG18)/Datos!BG18),(((NºAsuntos!C18+NºAsuntos!E18)/NºAsuntos!G18)-Datos!BG18)/Datos!BG18," - ")</f>
        <v>-2.5737137872364705E-2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0.31417910447761194</v>
      </c>
      <c r="C19" s="948">
        <f>IF(ISNUMBER(
   IF(J_V="SI",(Datos!J19-Datos!T19)/Datos!T19,(Datos!J19+Datos!Z19-(Datos!T19+Datos!AH19))/(Datos!T19+Datos!AH19))
     ),IF(J_V="SI",(Datos!J19-Datos!T19)/Datos!T19,(Datos!J19+Datos!Z19-(Datos!T19+Datos!AH19))/(Datos!T19+Datos!AH19))," - ")</f>
        <v>0.33254219409282698</v>
      </c>
      <c r="D19" s="948">
        <f>IF(ISNUMBER(
   IF(J_V="SI",(Datos!K19-Datos!U19)/Datos!U19,(Datos!K19+Datos!AA19-(Datos!U19+Datos!AI19))/(Datos!U19+Datos!AI19))
     ),IF(J_V="SI",(Datos!K19-Datos!U19)/Datos!U19,(Datos!K19+Datos!AA19-(Datos!U19+Datos!AI19))/(Datos!U19+Datos!AI19))," - ")</f>
        <v>0.21119751166407466</v>
      </c>
      <c r="E19" s="948">
        <f>IF(ISNUMBER(
   IF(J_V="SI",(Datos!L19-Datos!V19)/Datos!V19,(Datos!L19+Datos!AB19-(Datos!V19+Datos!AJ19))/(Datos!V19+Datos!AJ19))
     ),IF(J_V="SI",(Datos!L19-Datos!V19)/Datos!V19,(Datos!L19+Datos!AB19-(Datos!V19+Datos!AJ19))/(Datos!V19+Datos!AJ19))," - ")</f>
        <v>0.34798596022062511</v>
      </c>
      <c r="F19" s="949">
        <f>IF(ISNUMBER((Datos!M19-Datos!W19)/Datos!W19),(Datos!M19-Datos!W19)/Datos!W19," - ")</f>
        <v>0.24107142857142858</v>
      </c>
      <c r="G19" s="950">
        <f>IF(ISNUMBER((Datos!N19-Datos!X19)/Datos!X19),(Datos!N19-Datos!X19)/Datos!X19," - ")</f>
        <v>0.25432098765432098</v>
      </c>
      <c r="H19" s="951">
        <f>IF(ISNUMBER((Tasas!B19-Datos!BD19)/Datos!BD19),(Tasas!B19-Datos!BD19)/Datos!BD19," - ")</f>
        <v>-9.1062544185598518E-2</v>
      </c>
      <c r="I19" s="952">
        <f>IF(ISNUMBER((Tasas!C19-Datos!BE19)/Datos!BE19),(Tasas!C19-Datos!BE19)/Datos!BE19," - ")</f>
        <v>0.11293653366957093</v>
      </c>
      <c r="J19" s="953">
        <f>IF(ISNUMBER((Tasas!D19-Datos!BF19)/Datos!BF19),(Tasas!D19-Datos!BF19)/Datos!BF19," - ")</f>
        <v>-0.57911080051687569</v>
      </c>
      <c r="K19" s="953">
        <f>IF(ISNUMBER((Tasas!E19-Datos!BG19)/Datos!BG19),(Tasas!E19-Datos!BG19)/Datos!BG19," - ")</f>
        <v>9.1306392791851279E-2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APSym9EfuwlZUKqdZ67gA1rsHts9oTGhGpOIJ4/WIQ/X02QRJ/xnj/1pyImnVSjWLR2HQk9BwrQeltthOz1aQ==" saltValue="PQEef84xFyRwsrJ2QHbs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COSLADA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2.5</v>
      </c>
      <c r="D10" s="460">
        <f>IF(ISNUMBER('Resol  Asuntos'!D10/NºAsuntos!G10),'Resol  Asuntos'!D10/NºAsuntos!G10," - ")</f>
        <v>0.875</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0.58320726172465964</v>
      </c>
      <c r="C12" s="459">
        <f>IF(ISNUMBER(NºAsuntos!I12/NºAsuntos!G12),NºAsuntos!I12/NºAsuntos!G12," - ")</f>
        <v>3.9747081712062258</v>
      </c>
      <c r="D12" s="460">
        <f>IF(ISNUMBER('Resol  Asuntos'!D12/NºAsuntos!G12),'Resol  Asuntos'!D12/NºAsuntos!G12," - ")</f>
        <v>0.14850843060959792</v>
      </c>
      <c r="E12" s="461">
        <f>IF(ISNUMBER((NºAsuntos!C12+NºAsuntos!E12)/NºAsuntos!G12),(NºAsuntos!C12+NºAsuntos!E12)/NºAsuntos!G12," - ")</f>
        <v>5.0940337224383914</v>
      </c>
      <c r="G12" s="479"/>
    </row>
    <row r="13" spans="1:7" ht="14.25" thickTop="1" thickBot="1">
      <c r="A13" s="994" t="str">
        <f>Datos!A13</f>
        <v>TOTAL</v>
      </c>
      <c r="B13" s="1004">
        <f>IF(ISNUMBER(NºAsuntos!G13/NºAsuntos!E13),NºAsuntos!G13/NºAsuntos!E13," - ")</f>
        <v>0.58402411454408443</v>
      </c>
      <c r="C13" s="1005">
        <f>IF(ISNUMBER(NºAsuntos!I13/NºAsuntos!G13),NºAsuntos!I13/NºAsuntos!G13," - ")</f>
        <v>3.9670967741935486</v>
      </c>
      <c r="D13" s="1006">
        <f>IF(ISNUMBER('Resol  Asuntos'!D13/NºAsuntos!G13),'Resol  Asuntos'!D13/NºAsuntos!G13," - ")</f>
        <v>0.15225806451612903</v>
      </c>
      <c r="E13" s="1007">
        <f>IF(ISNUMBER((NºAsuntos!C13+NºAsuntos!E13)/NºAsuntos!G13),(NºAsuntos!C13+NºAsuntos!E13)/NºAsuntos!G13," - ")</f>
        <v>5.0858064516129033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0.97266959492435334</v>
      </c>
      <c r="C16" s="459">
        <f>IF(ISNUMBER(NºAsuntos!I16/NºAsuntos!G16),NºAsuntos!I16/NºAsuntos!G16," - ")</f>
        <v>0.93326643251379826</v>
      </c>
      <c r="D16" s="460">
        <f>IF(ISNUMBER('Resol  Asuntos'!D16/NºAsuntos!G16),'Resol  Asuntos'!D16/NºAsuntos!G16," - ")</f>
        <v>8.3291520321123927E-2</v>
      </c>
      <c r="E16" s="461">
        <f>IF(ISNUMBER((NºAsuntos!C16+NºAsuntos!E16)/NºAsuntos!G16),(NºAsuntos!C16+NºAsuntos!E16)/NºAsuntos!G16," - ")</f>
        <v>1.9101856497742098</v>
      </c>
      <c r="G16" s="479"/>
    </row>
    <row r="17" spans="1:7" ht="13.5" thickBot="1">
      <c r="A17" s="413" t="str">
        <f>Datos!A17</f>
        <v>Jdos. Violencia contra la mujer</v>
      </c>
      <c r="B17" s="458">
        <f>IF(ISNUMBER(NºAsuntos!G17/NºAsuntos!E17),NºAsuntos!G17/NºAsuntos!E17," - ")</f>
        <v>1.0028571428571429</v>
      </c>
      <c r="C17" s="459">
        <f>IF(ISNUMBER(NºAsuntos!I17/NºAsuntos!G17),NºAsuntos!I17/NºAsuntos!G17," - ")</f>
        <v>0.15954415954415954</v>
      </c>
      <c r="D17" s="460">
        <f>IF(ISNUMBER('Resol  Asuntos'!D17/NºAsuntos!G17),'Resol  Asuntos'!D17/NºAsuntos!G17," - ")</f>
        <v>4.2735042735042736E-2</v>
      </c>
      <c r="E17" s="461">
        <f>IF(ISNUMBER((NºAsuntos!C17+NºAsuntos!E17)/NºAsuntos!G17),(NºAsuntos!C17+NºAsuntos!E17)/NºAsuntos!G17," - ")</f>
        <v>1.1595441595441596</v>
      </c>
      <c r="G17" s="479"/>
    </row>
    <row r="18" spans="1:7" ht="14.25" thickTop="1" thickBot="1">
      <c r="A18" s="994" t="str">
        <f>Datos!A18</f>
        <v>TOTAL</v>
      </c>
      <c r="B18" s="1004">
        <f>IF(ISNUMBER(NºAsuntos!G18/NºAsuntos!E18),NºAsuntos!G18/NºAsuntos!E18," - ")</f>
        <v>0.97707378074197582</v>
      </c>
      <c r="C18" s="1005">
        <f>IF(ISNUMBER(NºAsuntos!I18/NºAsuntos!G18),NºAsuntos!I18/NºAsuntos!G18," - ")</f>
        <v>0.81740614334470985</v>
      </c>
      <c r="D18" s="1008">
        <f>IF(ISNUMBER('Resol  Asuntos'!D18/NºAsuntos!G18),'Resol  Asuntos'!D18/NºAsuntos!G18," - ")</f>
        <v>7.721843003412969E-2</v>
      </c>
      <c r="E18" s="1007">
        <f>IF(ISNUMBER((NºAsuntos!C18+NºAsuntos!E18)/NºAsuntos!G18),(NºAsuntos!C18+NºAsuntos!E18)/NºAsuntos!G18," - ")</f>
        <v>1.7977815699658704</v>
      </c>
      <c r="G18" s="479"/>
    </row>
    <row r="19" spans="1:7" ht="15.75" customHeight="1" thickTop="1" thickBot="1">
      <c r="A19" s="939" t="str">
        <f>Datos!A19</f>
        <v>TOTAL JURISDICCIONES</v>
      </c>
      <c r="B19" s="954">
        <f>IF(ISNUMBER(NºAsuntos!G19/NºAsuntos!E19),NºAsuntos!G19/NºAsuntos!E19," - ")</f>
        <v>0.77063130813378189</v>
      </c>
      <c r="C19" s="955">
        <f>IF(ISNUMBER(NºAsuntos!I19/NºAsuntos!G19),NºAsuntos!I19/NºAsuntos!G19," - ")</f>
        <v>2.0711350796096557</v>
      </c>
      <c r="D19" s="956">
        <f>IF(ISNUMBER('Resol  Asuntos'!D19/NºAsuntos!G19),'Resol  Asuntos'!D19/NºAsuntos!G19," - ")</f>
        <v>0.10708782742681047</v>
      </c>
      <c r="E19" s="957">
        <f>IF(ISNUMBER((NºAsuntos!C19+NºAsuntos!E19)/NºAsuntos!G19),(NºAsuntos!C19+NºAsuntos!E19)/NºAsuntos!G19," - ")</f>
        <v>3.1065742167437085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F/17vSxQp7QANpfSnPW4I+ESHTK6v/hNsaZZBxA5mdmxrKJ96nXQkf+JrjYhr05N3W9QbCNhKbxCkLmEfXZ/w==" saltValue="lU7VWLoRWuURcOnjjqFO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COSLADA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17</v>
      </c>
      <c r="Y10" s="343">
        <f t="shared" ref="Y10:Y12" si="0">SUM(W10:X10)</f>
        <v>25</v>
      </c>
      <c r="Z10" s="344" t="str">
        <f>IF(ISNUMBER(Datos!CC10),Datos!CC10," - ")</f>
        <v xml:space="preserve"> - </v>
      </c>
      <c r="AA10" s="341">
        <f>IF(ISNUMBER(Datos!L10),Datos!L10,"-")</f>
        <v>20</v>
      </c>
      <c r="AB10" s="343">
        <f>IF(ISNUMBER(Datos!R10),Datos!R10," - ")</f>
        <v>40</v>
      </c>
      <c r="AC10" s="343">
        <f t="shared" ref="AC10:AC12" si="1">IF(ISNUMBER(AA10+AB10),AA10+AB10," - ")</f>
        <v>60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5</v>
      </c>
      <c r="AN10" s="248">
        <f>IF(ISNUMBER('Resol  Asuntos'!D10/NºAsuntos!G10),'Resol  Asuntos'!D10/NºAsuntos!G10," - ")</f>
        <v>0.875</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170</v>
      </c>
      <c r="Y12" s="343">
        <f t="shared" si="0"/>
        <v>170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6344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229</v>
      </c>
      <c r="AJ12" s="233" t="str">
        <f>IF(ISNUMBER(Datos!BW12),Datos!BW12," - ")</f>
        <v xml:space="preserve"> - </v>
      </c>
      <c r="AK12" s="232" t="str">
        <f>IF(ISNUMBER(Datos!BX12),Datos!BX12," - ")</f>
        <v xml:space="preserve"> - </v>
      </c>
      <c r="AL12" s="247">
        <f>IF(ISNUMBER(NºAsuntos!G12/NºAsuntos!E12),NºAsuntos!G12/NºAsuntos!E12," - ")</f>
        <v>0.58320726172465964</v>
      </c>
      <c r="AM12" s="264">
        <f>IF(ISNUMBER(((NºAsuntos!I12/NºAsuntos!G12)*11)/factor_trimestre),((NºAsuntos!I12/NºAsuntos!G12)*11)/factor_trimestre," - ")</f>
        <v>7.9494163424124515</v>
      </c>
      <c r="AN12" s="248">
        <f>IF(ISNUMBER('Resol  Asuntos'!D12/NºAsuntos!G12),'Resol  Asuntos'!D12/NºAsuntos!G12," - ")</f>
        <v>0.14850843060959792</v>
      </c>
      <c r="AO12" s="249">
        <f>IF(ISNUMBER((NºAsuntos!C12+NºAsuntos!E12)/NºAsuntos!G12),(NºAsuntos!C12+NºAsuntos!E12)/NºAsuntos!G12," - ")</f>
        <v>5.0940337224383914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18</v>
      </c>
      <c r="G13" s="1012">
        <f t="shared" si="3"/>
        <v>18</v>
      </c>
      <c r="H13" s="1011">
        <f t="shared" si="3"/>
        <v>0</v>
      </c>
      <c r="I13" s="1013">
        <f t="shared" si="3"/>
        <v>0</v>
      </c>
      <c r="J13" s="1013">
        <f t="shared" si="3"/>
        <v>0</v>
      </c>
      <c r="K13" s="1013">
        <f t="shared" si="3"/>
        <v>0</v>
      </c>
      <c r="L13" s="1013">
        <f t="shared" si="3"/>
        <v>339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187</v>
      </c>
      <c r="Y13" s="1014">
        <f t="shared" si="4"/>
        <v>195</v>
      </c>
      <c r="Z13" s="1014">
        <f t="shared" si="4"/>
        <v>0</v>
      </c>
      <c r="AA13" s="1014">
        <f t="shared" si="4"/>
        <v>20</v>
      </c>
      <c r="AB13" s="1014">
        <f t="shared" si="4"/>
        <v>6384</v>
      </c>
      <c r="AC13" s="1014">
        <f t="shared" si="4"/>
        <v>60</v>
      </c>
      <c r="AD13" s="1014">
        <f t="shared" si="4"/>
        <v>0</v>
      </c>
      <c r="AE13" s="1018">
        <f t="shared" si="4"/>
        <v>0</v>
      </c>
      <c r="AF13" s="1011">
        <f t="shared" si="4"/>
        <v>0</v>
      </c>
      <c r="AG13" s="1019">
        <f t="shared" si="4"/>
        <v>0</v>
      </c>
      <c r="AH13" s="1016">
        <f t="shared" si="4"/>
        <v>0</v>
      </c>
      <c r="AI13" s="1011">
        <f t="shared" si="4"/>
        <v>236</v>
      </c>
      <c r="AJ13" s="1013">
        <f t="shared" si="4"/>
        <v>0</v>
      </c>
      <c r="AK13" s="1016">
        <f>SUBTOTAL(9,AK9:AK12)</f>
        <v>0</v>
      </c>
      <c r="AL13" s="1020">
        <f>IF(ISNUMBER(NºAsuntos!G13/NºAsuntos!E13),NºAsuntos!G13/NºAsuntos!E13," - ")</f>
        <v>0.58402411454408443</v>
      </c>
      <c r="AM13" s="1020">
        <f>IF(ISNUMBER(((NºAsuntos!I13/NºAsuntos!G13)*11)/factor_trimestre),((NºAsuntos!I13/NºAsuntos!G13)*11)/factor_trimestre," - ")</f>
        <v>7.9341935483870971</v>
      </c>
      <c r="AN13" s="1021">
        <f>IF(ISNUMBER('Resol  Asuntos'!D13/NºAsuntos!G13),'Resol  Asuntos'!D13/NºAsuntos!G13," - ")</f>
        <v>0.15225806451612903</v>
      </c>
      <c r="AO13" s="1022">
        <f>IF(ISNUMBER((NºAsuntos!C13+NºAsuntos!E13)/NºAsuntos!G13),(NºAsuntos!C13+NºAsuntos!E13)/NºAsuntos!G13," - ")</f>
        <v>5.0858064516129033</v>
      </c>
      <c r="AP13" s="1023" t="str">
        <f t="shared" si="2"/>
        <v xml:space="preserve"> - </v>
      </c>
      <c r="AQ13" s="1023">
        <f>IF(ISNUMBER((H13-W13+K13)/(F13)),(H13-W13+K13)/(F13)," - ")</f>
        <v>-0.44444444444444442</v>
      </c>
      <c r="AR13" s="1024">
        <f>IF(ISNUMBER((Datos!P13-Datos!Q13)/(Datos!R13-Datos!P13+Datos!Q13)),(Datos!P13-Datos!Q13)/(Datos!R13-Datos!P13+Datos!Q13)," - ")</f>
        <v>2.4390243902439025E-2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1804</v>
      </c>
      <c r="G16" s="342">
        <f>IF(ISNUMBER(IF(D_I="SI",Datos!I16,Datos!I16+Datos!AC16)),IF(D_I="SI",Datos!I16,Datos!I16+Datos!AC16)," - ")</f>
        <v>1758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1993</v>
      </c>
      <c r="X16" s="230">
        <f>IF(ISNUMBER(Datos!Q16),Datos!Q16," - ")</f>
        <v>37</v>
      </c>
      <c r="Y16" s="343">
        <f t="shared" ref="Y16:Y17" si="7">SUM(W16:X16)</f>
        <v>2030</v>
      </c>
      <c r="Z16" s="344" t="str">
        <f>IF(ISNUMBER(Datos!CC16),Datos!CC16," - ")</f>
        <v xml:space="preserve"> - </v>
      </c>
      <c r="AA16" s="341">
        <f>IF(ISNUMBER(IF(D_I="SI",Datos!L16,Datos!L16+Datos!AF16)),IF(D_I="SI",Datos!L16,Datos!L16+Datos!AF16)," - ")</f>
        <v>1860</v>
      </c>
      <c r="AB16" s="343">
        <f>IF(ISNUMBER(Datos!R16),Datos!R16," - ")</f>
        <v>313</v>
      </c>
      <c r="AC16" s="343">
        <f t="shared" si="6"/>
        <v>2173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166</v>
      </c>
      <c r="AJ16" s="235" t="str">
        <f>IF(ISNUMBER(Datos!BW16),Datos!BW16," - ")</f>
        <v xml:space="preserve"> - </v>
      </c>
      <c r="AK16" s="236" t="str">
        <f>IF(ISNUMBER(Datos!BX16),Datos!BX16," - ")</f>
        <v xml:space="preserve"> - </v>
      </c>
      <c r="AL16" s="247">
        <f>IF(ISNUMBER(NºAsuntos!G16/NºAsuntos!E16),NºAsuntos!G16/NºAsuntos!E16," - ")</f>
        <v>0.97266959492435334</v>
      </c>
      <c r="AM16" s="264">
        <f>IF(ISNUMBER(((NºAsuntos!I16/NºAsuntos!G16)*11)/factor_trimestre),((NºAsuntos!I16/NºAsuntos!G16)*11)/factor_trimestre," - ")</f>
        <v>1.8665328650275965</v>
      </c>
      <c r="AN16" s="248">
        <f>IF(ISNUMBER('Resol  Asuntos'!D16/NºAsuntos!G16),'Resol  Asuntos'!D16/NºAsuntos!G16," - ")</f>
        <v>8.3291520321123927E-2</v>
      </c>
      <c r="AO16" s="249">
        <f>IF(ISNUMBER((NºAsuntos!C16+NºAsuntos!E16)/NºAsuntos!G16),(NºAsuntos!C16+NºAsuntos!E16)/NºAsuntos!G16," - ")</f>
        <v>1.9101856497742098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351</v>
      </c>
      <c r="X17" s="230">
        <f>IF(ISNUMBER(Datos!Q17),Datos!Q17," - ")</f>
        <v>0</v>
      </c>
      <c r="Y17" s="343">
        <f t="shared" si="7"/>
        <v>351</v>
      </c>
      <c r="Z17" s="344" t="str">
        <f>IF(ISNUMBER(Datos!CC17),Datos!CC17," - ")</f>
        <v xml:space="preserve"> - </v>
      </c>
      <c r="AA17" s="341">
        <f>IF(ISNUMBER(Datos!L17),Datos!L17,"-")</f>
        <v>56</v>
      </c>
      <c r="AB17" s="343">
        <f>IF(ISNUMBER(Datos!R17),Datos!R17," - ")</f>
        <v>0</v>
      </c>
      <c r="AC17" s="343">
        <f t="shared" si="6"/>
        <v>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1.0028571428571429</v>
      </c>
      <c r="AM17" s="264">
        <f>IF(ISNUMBER(((NºAsuntos!I17/NºAsuntos!G17)*11)/factor_trimestre),((NºAsuntos!I17/NºAsuntos!G17)*11)/factor_trimestre," - ")</f>
        <v>0.31908831908831908</v>
      </c>
      <c r="AN17" s="248">
        <f>IF(ISNUMBER('Resol  Asuntos'!D17/NºAsuntos!G17),'Resol  Asuntos'!D17/NºAsuntos!G17," - ")</f>
        <v>4.2735042735042736E-2</v>
      </c>
      <c r="AO17" s="249">
        <f>IF(ISNUMBER((NºAsuntos!C17+NºAsuntos!E17)/NºAsuntos!G17),(NºAsuntos!C17+NºAsuntos!E17)/NºAsuntos!G17," - ")</f>
        <v>1.1595441595441596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1804</v>
      </c>
      <c r="G18" s="1012">
        <f>SUBTOTAL(9,G15:G17)</f>
        <v>1815</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2344</v>
      </c>
      <c r="X18" s="1013">
        <f t="shared" si="11"/>
        <v>37</v>
      </c>
      <c r="Y18" s="1014">
        <f t="shared" si="11"/>
        <v>2381</v>
      </c>
      <c r="Z18" s="1014">
        <f t="shared" si="11"/>
        <v>0</v>
      </c>
      <c r="AA18" s="1014">
        <f t="shared" si="11"/>
        <v>1916</v>
      </c>
      <c r="AB18" s="1014">
        <f t="shared" si="11"/>
        <v>313</v>
      </c>
      <c r="AC18" s="1014">
        <f t="shared" si="11"/>
        <v>2229</v>
      </c>
      <c r="AD18" s="1014">
        <f t="shared" si="11"/>
        <v>0</v>
      </c>
      <c r="AE18" s="1018">
        <f t="shared" si="11"/>
        <v>0</v>
      </c>
      <c r="AF18" s="1011">
        <f t="shared" si="11"/>
        <v>0</v>
      </c>
      <c r="AG18" s="1019">
        <f t="shared" si="11"/>
        <v>0</v>
      </c>
      <c r="AH18" s="1016">
        <f t="shared" si="11"/>
        <v>0</v>
      </c>
      <c r="AI18" s="1011">
        <f t="shared" si="11"/>
        <v>181</v>
      </c>
      <c r="AJ18" s="1013">
        <f t="shared" si="11"/>
        <v>0</v>
      </c>
      <c r="AK18" s="1016">
        <f t="shared" si="11"/>
        <v>0</v>
      </c>
      <c r="AL18" s="1020">
        <f>IF(ISNUMBER(NºAsuntos!G18/NºAsuntos!E18),NºAsuntos!G18/NºAsuntos!E18," - ")</f>
        <v>0.97707378074197582</v>
      </c>
      <c r="AM18" s="1020">
        <f>IF(ISNUMBER(((NºAsuntos!I18/NºAsuntos!G18)*11)/factor_trimestre),((NºAsuntos!I18/NºAsuntos!G18)*11)/factor_trimestre," - ")</f>
        <v>1.6348122866894199</v>
      </c>
      <c r="AN18" s="1021">
        <f>IF(ISNUMBER('Resol  Asuntos'!D18/NºAsuntos!G18),'Resol  Asuntos'!D18/NºAsuntos!G18," - ")</f>
        <v>7.721843003412969E-2</v>
      </c>
      <c r="AO18" s="1022">
        <f>IF(ISNUMBER((NºAsuntos!C18+NºAsuntos!E18)/NºAsuntos!G18),(NºAsuntos!C18+NºAsuntos!E18)/NºAsuntos!G18," - ")</f>
        <v>1.7977815699658704</v>
      </c>
      <c r="AP18" s="1023" t="str">
        <f t="shared" si="2"/>
        <v xml:space="preserve"> - </v>
      </c>
      <c r="AQ18" s="1023">
        <f>IF(ISNUMBER((H18-W18+K18)/(F18)),(H18-W18+K18)/(F18)," - ")</f>
        <v>-1.2993348115299335</v>
      </c>
      <c r="AR18" s="1024">
        <f>IF(ISNUMBER((Datos!P18-Datos!Q18)/(Datos!R18-Datos!P18+Datos!Q18)),(Datos!P18-Datos!Q18)/(Datos!R18-Datos!P18+Datos!Q18)," - ")</f>
        <v>-9.4936708860759497E-3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1822</v>
      </c>
      <c r="G19" s="967">
        <f t="shared" si="13"/>
        <v>1833</v>
      </c>
      <c r="H19" s="966">
        <f t="shared" si="13"/>
        <v>0</v>
      </c>
      <c r="I19" s="968">
        <f t="shared" si="13"/>
        <v>0</v>
      </c>
      <c r="J19" s="968">
        <f t="shared" si="13"/>
        <v>0</v>
      </c>
      <c r="K19" s="1027">
        <f t="shared" si="13"/>
        <v>0</v>
      </c>
      <c r="L19" s="968">
        <f t="shared" si="13"/>
        <v>373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2352</v>
      </c>
      <c r="X19" s="967">
        <f t="shared" si="14"/>
        <v>224</v>
      </c>
      <c r="Y19" s="974">
        <f t="shared" si="14"/>
        <v>2576</v>
      </c>
      <c r="Z19" s="974">
        <f t="shared" si="14"/>
        <v>0</v>
      </c>
      <c r="AA19" s="974">
        <f t="shared" si="14"/>
        <v>1936</v>
      </c>
      <c r="AB19" s="974">
        <f t="shared" si="14"/>
        <v>6697</v>
      </c>
      <c r="AC19" s="974">
        <f t="shared" si="14"/>
        <v>2289</v>
      </c>
      <c r="AD19" s="974">
        <f t="shared" si="14"/>
        <v>0</v>
      </c>
      <c r="AE19" s="976">
        <f t="shared" si="14"/>
        <v>0</v>
      </c>
      <c r="AF19" s="977">
        <f t="shared" si="14"/>
        <v>0</v>
      </c>
      <c r="AG19" s="978">
        <f t="shared" si="14"/>
        <v>0</v>
      </c>
      <c r="AH19" s="976">
        <f t="shared" si="14"/>
        <v>0</v>
      </c>
      <c r="AI19" s="966">
        <f t="shared" si="14"/>
        <v>417</v>
      </c>
      <c r="AJ19" s="966">
        <f t="shared" si="14"/>
        <v>0</v>
      </c>
      <c r="AK19" s="976">
        <f t="shared" si="14"/>
        <v>0</v>
      </c>
      <c r="AL19" s="1030">
        <f>IF(ISNUMBER(NºAsuntos!G19/NºAsuntos!E19),NºAsuntos!G19/NºAsuntos!E19," - ")</f>
        <v>0.77063130813378189</v>
      </c>
      <c r="AM19" s="1031">
        <f>IF(ISNUMBER(((NºAsuntos!I19/NºAsuntos!G19)*11)/factor_trimestre),((NºAsuntos!I19/NºAsuntos!G19)*11)/factor_trimestre," - ")</f>
        <v>4.1422701592193114</v>
      </c>
      <c r="AN19" s="1031">
        <f>IF(ISNUMBER('Resol  Asuntos'!D19/NºAsuntos!G19),'Resol  Asuntos'!D19/NºAsuntos!G19," - ")</f>
        <v>0.10708782742681047</v>
      </c>
      <c r="AO19" s="1032">
        <f>IF(ISNUMBER((NºAsuntos!C19+NºAsuntos!E19)/NºAsuntos!G19),(NºAsuntos!C19+NºAsuntos!E19)/NºAsuntos!G19," - ")</f>
        <v>3.1065742167437085</v>
      </c>
      <c r="AP19" s="1033" t="str">
        <f t="shared" si="2"/>
        <v xml:space="preserve"> - </v>
      </c>
      <c r="AQ19" s="1034">
        <f>IF(OR(ISNUMBER(FIND("01",Criterios!A8,1)),ISNUMBER(FIND("02",Criterios!A8,1)),ISNUMBER(FIND("03",Criterios!A8,1)),ISNUMBER(FIND("04",Criterios!A8,1))),(I19-W19+K19)/(F19-K19),(H19-W19+K19)/(F19-K19))</f>
        <v>-1.2908891328210756</v>
      </c>
      <c r="AR19" s="1035">
        <f>IF(ISNUMBER((Datos!P19-Datos!Q19)/(Datos!R19-Datos!P19+Datos!Q19)),(Datos!P19-Datos!Q19)/(Datos!R19-Datos!P19+Datos!Q19)," - ")</f>
        <v>2.2755039706780698E-2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3.2574700476153438</v>
      </c>
      <c r="F21" s="256">
        <f>IF(ISNUMBER(STDEV(F8:F18)),STDEV(F8:F18),"-")</f>
        <v>1031.1475807726715</v>
      </c>
      <c r="G21" s="257">
        <f>IF(ISNUMBER(STDEV(G8:G18)),STDEV(G8:G18),"-")</f>
        <v>961.86989764728571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1136.2427997571644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102.76380685825141</v>
      </c>
      <c r="AJ21" s="256">
        <f t="shared" si="18"/>
        <v>0</v>
      </c>
      <c r="AK21" s="258">
        <f t="shared" si="18"/>
        <v>0</v>
      </c>
      <c r="AL21" s="253">
        <f t="shared" si="18"/>
        <v>0.19675991828193359</v>
      </c>
      <c r="AM21" s="254">
        <f t="shared" si="18"/>
        <v>3.3373061357105565</v>
      </c>
      <c r="AN21" s="254">
        <f t="shared" si="18"/>
        <v>0.31894929750842871</v>
      </c>
      <c r="AO21" s="255">
        <f t="shared" si="18"/>
        <v>1.7295048811311604</v>
      </c>
      <c r="AP21" s="295" t="str">
        <f t="shared" si="18"/>
        <v>-</v>
      </c>
      <c r="AQ21" s="296">
        <f t="shared" si="18"/>
        <v>0.60449877573720623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kaoIeTW6GXaRApc7McNFYp/td3VPAIkaxO6jcCWwG23kbvRYoz1RgncgQk5k5glS9oqbrfTCvTOyKtJkkzyFw==" saltValue="fea0tygX/XKfyBJXBP43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COSLADA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-0.5</v>
      </c>
      <c r="F10" s="357">
        <f>IF(ISNUMBER((Datos!K10-Datos!U10)/Datos!U10),(Datos!K10-Datos!U10)/Datos!U10," - ")</f>
        <v>-0.55555555555555558</v>
      </c>
      <c r="G10" s="358">
        <f>IF(ISNUMBER((Datos!L10-Datos!V10)/Datos!V10),(Datos!L10-Datos!V10)/Datos!V10," - ")</f>
        <v>-0.23076923076923078</v>
      </c>
      <c r="H10" s="234">
        <f>IF(ISNUMBER((Datos!M10-Datos!W10)/Datos!W10),(Datos!M10-Datos!W10)/Datos!W10," - ")</f>
        <v>0.4</v>
      </c>
      <c r="I10" s="359">
        <f>IF(ISNUMBER((Tasas!C10-Datos!BE10)/Datos!BE10),(Tasas!C10-Datos!BE10)/Datos!BE10," - ")</f>
        <v>0.73076923076923084</v>
      </c>
      <c r="J10" s="358">
        <f>IF(ISNUMBER((Tasas!D10-Datos!BF10)/Datos!BF10),(Tasas!D10-Datos!BF10)/Datos!BF10," - ")</f>
        <v>2.15</v>
      </c>
      <c r="K10" s="360">
        <f>IF(ISNUMBER((Tasas!E10-Datos!BG10)/Datos!BG10),(Tasas!E10-Datos!BG10)/Datos!BG10," - ")</f>
        <v>0.43181818181818171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0.30857142857142855</v>
      </c>
      <c r="I12" s="359">
        <f>IF(ISNUMBER((Tasas!C12-Datos!BE12)/Datos!BE12),(Tasas!C12-Datos!BE12)/Datos!BE12," - ")</f>
        <v>0.11457089516224657</v>
      </c>
      <c r="J12" s="358">
        <f>IF(ISNUMBER((Tasas!D12-Datos!BF12)/Datos!BF12),(Tasas!D12-Datos!BF12)/Datos!BF12," - ")</f>
        <v>-0.73169024789407489</v>
      </c>
      <c r="K12" s="360">
        <f>IF(ISNUMBER((Tasas!E12-Datos!BG12)/Datos!BG12),(Tasas!E12-Datos!BG12)/Datos!BG12," - ")</f>
        <v>0.11995147778002792</v>
      </c>
      <c r="M12" t="e">
        <f>IF(Monitorios="SI",Datos!CE12,0)</f>
        <v>#REF!</v>
      </c>
      <c r="N12" t="e">
        <f>IF(Monitorios="SI",Datos!CF12,0)</f>
        <v>#REF!</v>
      </c>
      <c r="O12" t="e">
        <f>IF(Monitorios="SI",Datos!CG12,0)</f>
        <v>#REF!</v>
      </c>
      <c r="P12" t="e">
        <f>IF(Monitorios="SI",Datos!CH12,0)</f>
        <v>#REF!</v>
      </c>
      <c r="Q12">
        <f>IF(J_V="SI",0,Datos!AG12)</f>
        <v>170</v>
      </c>
      <c r="R12">
        <f>IF(J_V="SI",0,Datos!AH12)</f>
        <v>139</v>
      </c>
      <c r="S12">
        <f>IF(J_V="SI",0,Datos!AI12)</f>
        <v>147</v>
      </c>
      <c r="T12">
        <f>IF(J_V="SI",0,Datos!AJ12)</f>
        <v>183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0.31111111111111112</v>
      </c>
      <c r="I13" s="366">
        <f>IF(ISNUMBER((Tasas!C13-Datos!BE13)/Datos!BE13),(Tasas!C13-Datos!BE13)/Datos!BE13," - ")</f>
        <v>0.12241174287467156</v>
      </c>
      <c r="J13" s="364">
        <f>IF(ISNUMBER((Tasas!D13-Datos!BF13)/Datos!BF13),(Tasas!D13-Datos!BF13)/Datos!BF13," - ")</f>
        <v>-0.72285352304843586</v>
      </c>
      <c r="K13" s="367">
        <f>IF(ISNUMBER((Tasas!E13-Datos!BG13)/Datos!BG13),(Tasas!E13-Datos!BG13)/Datos!BG13," - ")</f>
        <v>0.12592261146308076</v>
      </c>
      <c r="M13" t="e">
        <f>IF(Monitorios="SI",Datos!CE13,0)</f>
        <v>#REF!</v>
      </c>
      <c r="N13" t="e">
        <f>IF(Monitorios="SI",Datos!CF13,0)</f>
        <v>#REF!</v>
      </c>
      <c r="O13" t="e">
        <f>IF(Monitorios="SI",Datos!CG13,0)</f>
        <v>#REF!</v>
      </c>
      <c r="P13" t="e">
        <f>IF(Monitorios="SI",Datos!CH13,0)</f>
        <v>#REF!</v>
      </c>
      <c r="Q13">
        <f>IF(J_V="SI",0,Datos!AG13)</f>
        <v>170</v>
      </c>
      <c r="R13">
        <f>IF(J_V="SI",0,Datos!AH13)</f>
        <v>139</v>
      </c>
      <c r="S13">
        <f>IF(J_V="SI",0,Datos!AI13)</f>
        <v>147</v>
      </c>
      <c r="T13">
        <f>IF(J_V="SI",0,Datos!AJ13)</f>
        <v>183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0.22423398328690808</v>
      </c>
      <c r="E16" s="357">
        <f>IF(ISNUMBER(
   IF(D_I="SI",(Datos!J16-Datos!T16)/Datos!T16,(Datos!J16+Datos!AD16-(Datos!T16+Datos!AL16))/(Datos!T16+Datos!AL16))
     ),IF(D_I="SI",(Datos!J16-Datos!T16)/Datos!T16,(Datos!J16+Datos!AD16-(Datos!T16+Datos!AL16))/(Datos!T16+Datos!AL16))," - ")</f>
        <v>5.1848049281314167E-2</v>
      </c>
      <c r="F16" s="357">
        <f>IF(ISNUMBER(
   IF(D_I="SI",(Datos!K16-Datos!U16)/Datos!U16,(Datos!K16+Datos!AE16-(Datos!U16+Datos!AM16))/(Datos!U16+Datos!AM16))
     ),IF(D_I="SI",(Datos!K16-Datos!U16)/Datos!U16,(Datos!K16+Datos!AE16-(Datos!U16+Datos!AM16))/(Datos!U16+Datos!AM16))," - ")</f>
        <v>0.14804147465437789</v>
      </c>
      <c r="G16" s="358">
        <f>IF(ISNUMBER(
   IF(D_I="SI",(Datos!L16-Datos!V16)/Datos!V16,(Datos!L16+Datos!AF16-(Datos!V16+Datos!AN16))/(Datos!V16+Datos!AN16))
     ),IF(D_I="SI",(Datos!L16-Datos!V16)/Datos!V16,(Datos!L16+Datos!AF16-(Datos!V16+Datos!AN16))/(Datos!V16+Datos!AN16))," - ")</f>
        <v>0.11177525403466826</v>
      </c>
      <c r="H16" s="234">
        <f>IF(ISNUMBER((Datos!M16-Datos!W16)/Datos!W16),(Datos!M16-Datos!W16)/Datos!W16," - ")</f>
        <v>0.19424460431654678</v>
      </c>
      <c r="I16" s="359">
        <f>IF(ISNUMBER((Tasas!C16-Datos!BE16)/Datos!BE16),(Tasas!C16-Datos!BE16)/Datos!BE16," - ")</f>
        <v>-3.15896432492805E-2</v>
      </c>
      <c r="J16" s="358">
        <f>IF(ISNUMBER((Tasas!D16-Datos!BF16)/Datos!BF16),(Tasas!D16-Datos!BF16)/Datos!BF16," - ")</f>
        <v>4.0245174658065729E-2</v>
      </c>
      <c r="K16" s="360">
        <f>IF(ISNUMBER((Tasas!E16-Datos!BG16)/Datos!BG16),(Tasas!E16-Datos!BG16)/Datos!BG16," - ")</f>
        <v>-2.0070245860511815E-2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0.46153846153846156</v>
      </c>
      <c r="E17" s="357">
        <f>IF(ISNUMBER(
   IF(D_I="SI",(Datos!J17-Datos!T17)/Datos!T17,(Datos!J17+Datos!AD17-(Datos!T17+Datos!AL17))/(Datos!T17+Datos!AL17))
     ),IF(D_I="SI",(Datos!J17-Datos!T17)/Datos!T17,(Datos!J17+Datos!AD17-(Datos!T17+Datos!AL17))/(Datos!T17+Datos!AL17))," - ")</f>
        <v>0.22377622377622378</v>
      </c>
      <c r="F17" s="357">
        <f>IF(ISNUMBER(
   IF(D_I="SI",(Datos!K17-Datos!U17)/Datos!U17,(Datos!K17+Datos!AE17-(Datos!U17+Datos!AM17))/(Datos!U17+Datos!AM17))
     ),IF(D_I="SI",(Datos!K17-Datos!U17)/Datos!U17,(Datos!K17+Datos!AE17-(Datos!U17+Datos!AM17))/(Datos!U17+Datos!AM17))," - ")</f>
        <v>0.28102189781021897</v>
      </c>
      <c r="G17" s="358">
        <f>IF(ISNUMBER(
   IF(D_I="SI",(Datos!L17-Datos!V17)/Datos!V17,(Datos!L17+Datos!AF17-(Datos!V17+Datos!AN17))/(Datos!V17+Datos!AN17))
     ),IF(D_I="SI",(Datos!L17-Datos!V17)/Datos!V17,(Datos!L17+Datos!AF17-(Datos!V17+Datos!AN17))/(Datos!V17+Datos!AN17))," - ")</f>
        <v>9.8039215686274508E-2</v>
      </c>
      <c r="H17" s="234">
        <f>IF(ISNUMBER((Datos!M17-Datos!W17)/Datos!W17),(Datos!M17-Datos!W17)/Datos!W17," - ")</f>
        <v>-0.11764705882352941</v>
      </c>
      <c r="I17" s="359">
        <f>IF(ISNUMBER((Tasas!C17-Datos!BE17)/Datos!BE17),(Tasas!C17-Datos!BE17)/Datos!BE17," - ")</f>
        <v>-0.14284118205686833</v>
      </c>
      <c r="J17" s="358">
        <f>IF(ISNUMBER((Tasas!D17-Datos!BF17)/Datos!BF17),(Tasas!D17-Datos!BF17)/Datos!BF17," - ")</f>
        <v>-0.31121166415284063</v>
      </c>
      <c r="K17" s="360">
        <f>IF(ISNUMBER((Tasas!E17-Datos!BG17)/Datos!BG17),(Tasas!E17-Datos!BG17)/Datos!BG17," - ")</f>
        <v>-2.2415077799693206E-2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0.23050847457627119</v>
      </c>
      <c r="E18" s="363">
        <f>IF(ISNUMBER(
   IF(D_I="SI",(Datos!J18-Datos!T18)/Datos!T18,(Datos!J18+Datos!AD18-(Datos!T18+Datos!AL18))/(Datos!T18+Datos!AL18))
     ),IF(D_I="SI",(Datos!J18-Datos!T18)/Datos!T18,(Datos!J18+Datos!AD18-(Datos!T18+Datos!AL18))/(Datos!T18+Datos!AL18))," - ")</f>
        <v>7.3858549686660696E-2</v>
      </c>
      <c r="F18" s="363">
        <f>IF(ISNUMBER(
   IF(D_I="SI",(Datos!K18-Datos!U18)/Datos!U18,(Datos!K18+Datos!AE18-(Datos!U18+Datos!AM18))/(Datos!U18+Datos!AM18))
     ),IF(D_I="SI",(Datos!K18-Datos!U18)/Datos!U18,(Datos!K18+Datos!AE18-(Datos!U18+Datos!AM18))/(Datos!U18+Datos!AM18))," - ")</f>
        <v>0.16616915422885573</v>
      </c>
      <c r="G18" s="364">
        <f>IF(ISNUMBER(
   IF(D_I="SI",(Datos!L18-Datos!V18)/Datos!V18,(Datos!L18+Datos!AF18-(Datos!V18+Datos!AN18))/(Datos!V18+Datos!AN18))
     ),IF(D_I="SI",(Datos!L18-Datos!V18)/Datos!V18,(Datos!L18+Datos!AF18-(Datos!V18+Datos!AN18))/(Datos!V18+Datos!AN18))," - ")</f>
        <v>0.11136890951276102</v>
      </c>
      <c r="H18" s="365">
        <f>IF(ISNUMBER((Datos!M18-Datos!W18)/Datos!W18),(Datos!M18-Datos!W18)/Datos!W18," - ")</f>
        <v>0.16025641025641027</v>
      </c>
      <c r="I18" s="366">
        <f>IF(ISNUMBER((Tasas!C18-Datos!BE18)/Datos!BE18),(Tasas!C18-Datos!BE18)/Datos!BE18," - ")</f>
        <v>-4.6991677422931151E-2</v>
      </c>
      <c r="J18" s="364">
        <f>IF(ISNUMBER((Tasas!D18-Datos!BF18)/Datos!BF18),(Tasas!D18-Datos!BF18)/Datos!BF18," - ")</f>
        <v>-5.0702284064058746E-3</v>
      </c>
      <c r="K18" s="367">
        <f>IF(ISNUMBER((Tasas!E18-Datos!BG18)/Datos!BG18),(Tasas!E18-Datos!BG18)/Datos!BG18," - ")</f>
        <v>-2.5737137872364705E-2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0.31417910447761194</v>
      </c>
      <c r="E19" s="372">
        <f>IF(ISNUMBER(
   IF(J_V="SI",(Datos!J19-Datos!T19)/Datos!T19,(Datos!J19+Datos!Z19-(Datos!T19+Datos!AH19))/(Datos!T19+Datos!AH19))
     ),IF(J_V="SI",(Datos!J19-Datos!T19)/Datos!T19,(Datos!J19+Datos!Z19-(Datos!T19+Datos!AH19))/(Datos!T19+Datos!AH19))," - ")</f>
        <v>0.33254219409282698</v>
      </c>
      <c r="F19" s="372">
        <f>IF(ISNUMBER(
   IF(J_V="SI",(Datos!K19-Datos!U19)/Datos!U19,(Datos!K19+Datos!AA19-(Datos!U19+Datos!AI19))/(Datos!U19+Datos!AI19))
     ),IF(J_V="SI",(Datos!K19-Datos!U19)/Datos!U19,(Datos!K19+Datos!AA19-(Datos!U19+Datos!AI19))/(Datos!U19+Datos!AI19))," - ")</f>
        <v>0.21119751166407466</v>
      </c>
      <c r="G19" s="373">
        <f>IF(ISNUMBER(
   IF(J_V="SI",(Datos!L19-Datos!V19)/Datos!V19,(Datos!L19+Datos!AB19-(Datos!V19+Datos!AJ19))/(Datos!V19+Datos!AJ19))
     ),IF(J_V="SI",(Datos!L19-Datos!V19)/Datos!V19,(Datos!L19+Datos!AB19-(Datos!V19+Datos!AJ19))/(Datos!V19+Datos!AJ19))," - ")</f>
        <v>0.34798596022062511</v>
      </c>
      <c r="H19" s="374">
        <f>IF(ISNUMBER((Datos!M19-Datos!W19)/Datos!W19),(Datos!M19-Datos!W19)/Datos!W19," - ")</f>
        <v>0.24107142857142858</v>
      </c>
      <c r="I19" s="371">
        <f>IF(ISNUMBER((Tasas!C19-Datos!BE19)/Datos!BE19),(Tasas!C19-Datos!BE19)/Datos!BE19," - ")</f>
        <v>0.11293653366957093</v>
      </c>
      <c r="J19" s="372">
        <f>IF(ISNUMBER((Tasas!D19-Datos!BF19)/Datos!BF19),(Tasas!D19-Datos!BF19)/Datos!BF19," - ")</f>
        <v>-0.57911080051687569</v>
      </c>
      <c r="K19" s="373">
        <f>IF(ISNUMBER((Tasas!E19-Datos!BG19)/Datos!BG19),(Tasas!E19-Datos!BG19)/Datos!BG19," - ")</f>
        <v>9.1306392791851279E-2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0.29885906472327328</v>
      </c>
      <c r="E21" s="282">
        <f t="shared" si="1"/>
        <v>0.31757164479918409</v>
      </c>
      <c r="F21" s="282">
        <f t="shared" si="1"/>
        <v>0.38155392055942577</v>
      </c>
      <c r="G21" s="283">
        <f t="shared" si="1"/>
        <v>0.16903568414404849</v>
      </c>
      <c r="H21" s="289">
        <f t="shared" si="1"/>
        <v>0.18227069779836638</v>
      </c>
      <c r="I21" s="281">
        <f t="shared" si="1"/>
        <v>0.31397768485626099</v>
      </c>
      <c r="J21" s="282">
        <f t="shared" si="1"/>
        <v>1.0723401632064202</v>
      </c>
      <c r="K21" s="283">
        <f t="shared" si="1"/>
        <v>0.17684487319366712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v9oBbKRleklPfSK3sbJ6JWk3rXIR5yvdR/MFYC8D/Gpd4QUzHjqsRPYpF39IB8ZN/7y2cFfVN9yhha2aep0hQ==" saltValue="LbwTkRtyVct8qgDKu5TK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